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Quiñenco" sheetId="1" r:id="rId1"/>
  </sheets>
  <definedNames>
    <definedName name="_xlnm.Print_Area" localSheetId="0">'Quiñenco'!$A$1:$N$76</definedName>
  </definedNames>
  <calcPr fullCalcOnLoad="1"/>
</workbook>
</file>

<file path=xl/sharedStrings.xml><?xml version="1.0" encoding="utf-8"?>
<sst xmlns="http://schemas.openxmlformats.org/spreadsheetml/2006/main" count="97" uniqueCount="77">
  <si>
    <t>Quiñenco S.A.</t>
  </si>
  <si>
    <t>CCU</t>
  </si>
  <si>
    <t>NAV</t>
  </si>
  <si>
    <t>Descuento NAV</t>
  </si>
  <si>
    <t>Banco de Chile</t>
  </si>
  <si>
    <t>SM Chile A</t>
  </si>
  <si>
    <t>SM Chile B</t>
  </si>
  <si>
    <t>SM Chile D</t>
  </si>
  <si>
    <t>SM Chile E</t>
  </si>
  <si>
    <t xml:space="preserve">SM Chile </t>
  </si>
  <si>
    <t>Total SM Chile</t>
  </si>
  <si>
    <t>n.a.</t>
  </si>
  <si>
    <t>see detail</t>
  </si>
  <si>
    <t>Total</t>
  </si>
  <si>
    <t>SM Chile</t>
  </si>
  <si>
    <t>Quiñenco</t>
  </si>
  <si>
    <t>Citigroup</t>
  </si>
  <si>
    <t>TOTAL</t>
  </si>
  <si>
    <t>Efectivo</t>
  </si>
  <si>
    <t>Financiero</t>
  </si>
  <si>
    <t>Manufacturero</t>
  </si>
  <si>
    <t>Bebidas y Alimentos</t>
  </si>
  <si>
    <t>LQIF shares</t>
  </si>
  <si>
    <t>Vapores</t>
  </si>
  <si>
    <t>Transporte</t>
  </si>
  <si>
    <t>Enex</t>
  </si>
  <si>
    <t>Energía</t>
  </si>
  <si>
    <t>Invexans</t>
  </si>
  <si>
    <t>Techpack</t>
  </si>
  <si>
    <t>Servicios Portuarios</t>
  </si>
  <si>
    <t xml:space="preserve">NAV Estimado </t>
  </si>
  <si>
    <t>Tipo de cambio obs. (USD):</t>
  </si>
  <si>
    <t>Fecha:</t>
  </si>
  <si>
    <t>Activos</t>
  </si>
  <si>
    <t>Efectivo y equivalentes</t>
  </si>
  <si>
    <t>Sector Financiero:</t>
  </si>
  <si>
    <t>Bebidas y Alimentos:</t>
  </si>
  <si>
    <t>Manufacturero:</t>
  </si>
  <si>
    <t>Transporte:</t>
  </si>
  <si>
    <t>Servicios Portuarios:</t>
  </si>
  <si>
    <t>SM-SAAM</t>
  </si>
  <si>
    <t>Energía:</t>
  </si>
  <si>
    <t>Otros Activos Corporativos</t>
  </si>
  <si>
    <t xml:space="preserve">Suma </t>
  </si>
  <si>
    <t xml:space="preserve">Deuda a nivel corporativo </t>
  </si>
  <si>
    <t>Activo Bruto</t>
  </si>
  <si>
    <t>Deuda Bancaria</t>
  </si>
  <si>
    <t>Activo Neto</t>
  </si>
  <si>
    <t>Detalle Banco de Chile</t>
  </si>
  <si>
    <t>Deuda nivel corporativo (consolidado interno)</t>
  </si>
  <si>
    <t>Más: IRSA (50%)</t>
  </si>
  <si>
    <t xml:space="preserve">           50% deuda de LQIF</t>
  </si>
  <si>
    <t>Total deuda nivel corporativo</t>
  </si>
  <si>
    <t>Total acciones poseídas por LQIF</t>
  </si>
  <si>
    <t>**Nota: Neto de cuenta por cobrar a Inversiones Río Bravo (100% filial)</t>
  </si>
  <si>
    <t>* NAV estimate: Valor de mercado inversión de Nexans + Otros activos netos a valor libro</t>
  </si>
  <si>
    <t>Total acciones S/P</t>
  </si>
  <si>
    <t>Valor bursátil de la empresa en USD</t>
  </si>
  <si>
    <t>Valor de la inversión (USD)</t>
  </si>
  <si>
    <t>Precio por acción ($)</t>
  </si>
  <si>
    <t xml:space="preserve">Acciones de Quiñenco </t>
  </si>
  <si>
    <t>Participación %</t>
  </si>
  <si>
    <t>MM$</t>
  </si>
  <si>
    <t>MMUSD</t>
  </si>
  <si>
    <t>Valores al 31 de diciembre de 2018</t>
  </si>
  <si>
    <t>al 31 de diciembre de 2018</t>
  </si>
  <si>
    <t>NAV estimado*</t>
  </si>
  <si>
    <t>Valor libro**</t>
  </si>
  <si>
    <t>Valor libro</t>
  </si>
  <si>
    <t>NAV por acción $</t>
  </si>
  <si>
    <t>Por sector</t>
  </si>
  <si>
    <t>Otros activos</t>
  </si>
  <si>
    <t>menos deuda</t>
  </si>
  <si>
    <t>Nº de acciones</t>
  </si>
  <si>
    <t>Valor NAV</t>
  </si>
  <si>
    <t>Tipo de cambio</t>
  </si>
  <si>
    <t>Valor NAV por acción en $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</si>
</sst>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;\(#,##0\)"/>
    <numFmt numFmtId="195" formatCode="#,##0.00;\(#,##0.00\)"/>
    <numFmt numFmtId="196" formatCode="#,##0.0;\(#,##0.0\)"/>
    <numFmt numFmtId="197" formatCode="0.0"/>
    <numFmt numFmtId="198" formatCode="0.000000000000"/>
    <numFmt numFmtId="199" formatCode="#,##0.000;\(#,##0.000\)"/>
    <numFmt numFmtId="200" formatCode="&quot;$&quot;\ #,##0.0"/>
    <numFmt numFmtId="201" formatCode="#,##0.0"/>
    <numFmt numFmtId="202" formatCode="&quot;$&quot;\ #,##0"/>
    <numFmt numFmtId="203" formatCode="0.00000"/>
    <numFmt numFmtId="204" formatCode="0.0000"/>
    <numFmt numFmtId="205" formatCode="&quot;$&quot;\ #,##0.00"/>
    <numFmt numFmtId="206" formatCode="0.00000000"/>
    <numFmt numFmtId="207" formatCode="0.0000000"/>
    <numFmt numFmtId="208" formatCode="0.000000"/>
    <numFmt numFmtId="209" formatCode="0.000"/>
    <numFmt numFmtId="210" formatCode="0.0%"/>
    <numFmt numFmtId="211" formatCode="#,##0.0_);\(#,##0.0\)"/>
    <numFmt numFmtId="212" formatCode="0.000%"/>
    <numFmt numFmtId="213" formatCode="0.0000%"/>
    <numFmt numFmtId="214" formatCode="[$-340A]dddd\,\ dd&quot; de &quot;mmmm&quot; de &quot;yyyy"/>
    <numFmt numFmtId="215" formatCode="_([$USD]\ * #,##0_);_([$USD]\ * \(#,##0\);_([$USD]\ * &quot;-&quot;??_);_(@_)"/>
    <numFmt numFmtId="216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194" fontId="0" fillId="0" borderId="0" xfId="0" applyNumberFormat="1" applyAlignment="1">
      <alignment/>
    </xf>
    <xf numFmtId="194" fontId="1" fillId="0" borderId="0" xfId="0" applyNumberFormat="1" applyFont="1" applyAlignment="1">
      <alignment/>
    </xf>
    <xf numFmtId="194" fontId="0" fillId="0" borderId="0" xfId="0" applyNumberFormat="1" applyFill="1" applyAlignment="1">
      <alignment/>
    </xf>
    <xf numFmtId="195" fontId="0" fillId="0" borderId="0" xfId="0" applyNumberFormat="1" applyAlignment="1">
      <alignment/>
    </xf>
    <xf numFmtId="196" fontId="0" fillId="0" borderId="0" xfId="0" applyNumberFormat="1" applyAlignment="1">
      <alignment/>
    </xf>
    <xf numFmtId="197" fontId="0" fillId="0" borderId="0" xfId="0" applyNumberFormat="1" applyAlignment="1">
      <alignment/>
    </xf>
    <xf numFmtId="198" fontId="0" fillId="0" borderId="0" xfId="0" applyNumberFormat="1" applyAlignment="1">
      <alignment/>
    </xf>
    <xf numFmtId="9" fontId="0" fillId="0" borderId="0" xfId="0" applyNumberFormat="1" applyAlignment="1">
      <alignment/>
    </xf>
    <xf numFmtId="194" fontId="0" fillId="0" borderId="10" xfId="0" applyNumberFormat="1" applyBorder="1" applyAlignment="1">
      <alignment/>
    </xf>
    <xf numFmtId="194" fontId="0" fillId="0" borderId="11" xfId="0" applyNumberFormat="1" applyBorder="1" applyAlignment="1">
      <alignment/>
    </xf>
    <xf numFmtId="196" fontId="0" fillId="0" borderId="12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13" xfId="0" applyNumberFormat="1" applyBorder="1" applyAlignment="1">
      <alignment/>
    </xf>
    <xf numFmtId="196" fontId="0" fillId="0" borderId="14" xfId="0" applyNumberFormat="1" applyBorder="1" applyAlignment="1">
      <alignment/>
    </xf>
    <xf numFmtId="194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194" fontId="0" fillId="0" borderId="17" xfId="0" applyNumberFormat="1" applyBorder="1" applyAlignment="1">
      <alignment/>
    </xf>
    <xf numFmtId="196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199" fontId="3" fillId="0" borderId="0" xfId="0" applyNumberFormat="1" applyFont="1" applyAlignment="1">
      <alignment/>
    </xf>
    <xf numFmtId="194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9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94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194" fontId="6" fillId="0" borderId="0" xfId="0" applyNumberFormat="1" applyFont="1" applyAlignment="1">
      <alignment/>
    </xf>
    <xf numFmtId="194" fontId="0" fillId="0" borderId="0" xfId="0" applyNumberFormat="1" applyFont="1" applyAlignment="1">
      <alignment horizontal="center"/>
    </xf>
    <xf numFmtId="194" fontId="0" fillId="0" borderId="0" xfId="0" applyNumberFormat="1" applyAlignment="1">
      <alignment horizontal="right"/>
    </xf>
    <xf numFmtId="194" fontId="1" fillId="0" borderId="0" xfId="0" applyNumberFormat="1" applyFont="1" applyBorder="1" applyAlignment="1">
      <alignment/>
    </xf>
    <xf numFmtId="194" fontId="0" fillId="0" borderId="20" xfId="0" applyNumberFormat="1" applyBorder="1" applyAlignment="1">
      <alignment horizontal="right"/>
    </xf>
    <xf numFmtId="203" fontId="0" fillId="0" borderId="0" xfId="0" applyNumberFormat="1" applyAlignment="1">
      <alignment/>
    </xf>
    <xf numFmtId="1" fontId="0" fillId="0" borderId="0" xfId="0" applyNumberFormat="1" applyAlignment="1">
      <alignment/>
    </xf>
    <xf numFmtId="197" fontId="7" fillId="0" borderId="0" xfId="0" applyNumberFormat="1" applyFont="1" applyAlignment="1">
      <alignment/>
    </xf>
    <xf numFmtId="194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1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94" fontId="6" fillId="0" borderId="21" xfId="0" applyNumberFormat="1" applyFont="1" applyBorder="1" applyAlignment="1">
      <alignment/>
    </xf>
    <xf numFmtId="196" fontId="6" fillId="0" borderId="22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94" fontId="8" fillId="0" borderId="0" xfId="0" applyNumberFormat="1" applyFont="1" applyAlignment="1">
      <alignment/>
    </xf>
    <xf numFmtId="0" fontId="0" fillId="0" borderId="23" xfId="0" applyBorder="1" applyAlignment="1">
      <alignment/>
    </xf>
    <xf numFmtId="10" fontId="0" fillId="0" borderId="0" xfId="55" applyNumberFormat="1" applyFont="1" applyBorder="1" applyAlignment="1">
      <alignment/>
    </xf>
    <xf numFmtId="195" fontId="0" fillId="0" borderId="0" xfId="0" applyNumberFormat="1" applyBorder="1" applyAlignment="1">
      <alignment/>
    </xf>
    <xf numFmtId="196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02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02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02" fontId="0" fillId="0" borderId="0" xfId="55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195" fontId="0" fillId="0" borderId="0" xfId="0" applyNumberFormat="1" applyFill="1" applyBorder="1" applyAlignment="1">
      <alignment horizontal="right"/>
    </xf>
    <xf numFmtId="202" fontId="0" fillId="0" borderId="0" xfId="55" applyNumberFormat="1" applyFont="1" applyFill="1" applyBorder="1" applyAlignment="1">
      <alignment/>
    </xf>
    <xf numFmtId="194" fontId="0" fillId="0" borderId="24" xfId="0" applyNumberFormat="1" applyBorder="1" applyAlignment="1">
      <alignment/>
    </xf>
    <xf numFmtId="196" fontId="0" fillId="0" borderId="22" xfId="0" applyNumberFormat="1" applyBorder="1" applyAlignment="1">
      <alignment/>
    </xf>
    <xf numFmtId="194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94" fontId="4" fillId="0" borderId="13" xfId="0" applyNumberFormat="1" applyFont="1" applyBorder="1" applyAlignment="1">
      <alignment/>
    </xf>
    <xf numFmtId="194" fontId="5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left"/>
    </xf>
    <xf numFmtId="194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94" fontId="2" fillId="0" borderId="13" xfId="0" applyNumberFormat="1" applyFont="1" applyBorder="1" applyAlignment="1">
      <alignment/>
    </xf>
    <xf numFmtId="194" fontId="0" fillId="0" borderId="21" xfId="0" applyNumberFormat="1" applyBorder="1" applyAlignment="1">
      <alignment/>
    </xf>
    <xf numFmtId="194" fontId="6" fillId="0" borderId="11" xfId="0" applyNumberFormat="1" applyFont="1" applyBorder="1" applyAlignment="1">
      <alignment/>
    </xf>
    <xf numFmtId="194" fontId="6" fillId="0" borderId="13" xfId="0" applyNumberFormat="1" applyFont="1" applyBorder="1" applyAlignment="1">
      <alignment/>
    </xf>
    <xf numFmtId="194" fontId="2" fillId="0" borderId="25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195" fontId="0" fillId="0" borderId="20" xfId="0" applyNumberFormat="1" applyBorder="1" applyAlignment="1">
      <alignment/>
    </xf>
    <xf numFmtId="196" fontId="0" fillId="0" borderId="26" xfId="0" applyNumberFormat="1" applyBorder="1" applyAlignment="1">
      <alignment/>
    </xf>
    <xf numFmtId="194" fontId="0" fillId="0" borderId="23" xfId="0" applyNumberFormat="1" applyFill="1" applyBorder="1" applyAlignment="1">
      <alignment/>
    </xf>
    <xf numFmtId="194" fontId="0" fillId="0" borderId="23" xfId="0" applyNumberFormat="1" applyBorder="1" applyAlignment="1">
      <alignment/>
    </xf>
    <xf numFmtId="194" fontId="0" fillId="0" borderId="27" xfId="0" applyNumberFormat="1" applyFill="1" applyBorder="1" applyAlignment="1">
      <alignment/>
    </xf>
    <xf numFmtId="194" fontId="6" fillId="0" borderId="15" xfId="0" applyNumberFormat="1" applyFont="1" applyBorder="1" applyAlignment="1">
      <alignment horizontal="center"/>
    </xf>
    <xf numFmtId="194" fontId="5" fillId="0" borderId="17" xfId="0" applyNumberFormat="1" applyFont="1" applyFill="1" applyBorder="1" applyAlignment="1">
      <alignment horizontal="left"/>
    </xf>
    <xf numFmtId="194" fontId="9" fillId="0" borderId="19" xfId="0" applyNumberFormat="1" applyFont="1" applyBorder="1" applyAlignment="1">
      <alignment/>
    </xf>
    <xf numFmtId="196" fontId="6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194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94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194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194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94" fontId="10" fillId="34" borderId="0" xfId="0" applyNumberFormat="1" applyFont="1" applyFill="1" applyBorder="1" applyAlignment="1">
      <alignment horizontal="center"/>
    </xf>
    <xf numFmtId="194" fontId="10" fillId="34" borderId="23" xfId="0" applyNumberFormat="1" applyFont="1" applyFill="1" applyBorder="1" applyAlignment="1">
      <alignment horizontal="right"/>
    </xf>
    <xf numFmtId="194" fontId="10" fillId="34" borderId="14" xfId="0" applyNumberFormat="1" applyFont="1" applyFill="1" applyBorder="1" applyAlignment="1">
      <alignment horizontal="right"/>
    </xf>
    <xf numFmtId="197" fontId="0" fillId="0" borderId="0" xfId="0" applyNumberFormat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216" fontId="0" fillId="0" borderId="20" xfId="55" applyNumberFormat="1" applyFont="1" applyFill="1" applyBorder="1" applyAlignment="1">
      <alignment horizontal="right" readingOrder="1"/>
    </xf>
    <xf numFmtId="216" fontId="0" fillId="0" borderId="19" xfId="55" applyNumberFormat="1" applyFont="1" applyFill="1" applyBorder="1" applyAlignment="1">
      <alignment horizontal="right" readingOrder="1"/>
    </xf>
    <xf numFmtId="195" fontId="0" fillId="0" borderId="0" xfId="0" applyNumberFormat="1" applyFill="1" applyBorder="1" applyAlignment="1">
      <alignment/>
    </xf>
    <xf numFmtId="200" fontId="0" fillId="0" borderId="0" xfId="55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195" fontId="0" fillId="0" borderId="16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194" fontId="0" fillId="0" borderId="23" xfId="0" applyNumberFormat="1" applyFont="1" applyFill="1" applyBorder="1" applyAlignment="1">
      <alignment/>
    </xf>
    <xf numFmtId="194" fontId="6" fillId="0" borderId="0" xfId="0" applyNumberFormat="1" applyFont="1" applyFill="1" applyAlignment="1">
      <alignment/>
    </xf>
    <xf numFmtId="204" fontId="0" fillId="0" borderId="0" xfId="0" applyNumberFormat="1" applyAlignment="1">
      <alignment/>
    </xf>
    <xf numFmtId="195" fontId="0" fillId="0" borderId="0" xfId="0" applyNumberFormat="1" applyFont="1" applyFill="1" applyBorder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3" fontId="0" fillId="0" borderId="23" xfId="0" applyNumberFormat="1" applyFill="1" applyBorder="1" applyAlignment="1">
      <alignment/>
    </xf>
    <xf numFmtId="194" fontId="6" fillId="34" borderId="29" xfId="0" applyNumberFormat="1" applyFont="1" applyFill="1" applyBorder="1" applyAlignment="1">
      <alignment horizontal="center"/>
    </xf>
    <xf numFmtId="194" fontId="6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tabSelected="1" zoomScale="110" zoomScaleNormal="110" zoomScalePageLayoutView="0" workbookViewId="0" topLeftCell="A1">
      <pane xSplit="1" topLeftCell="B1" activePane="topRight" state="frozen"/>
      <selection pane="topLeft" activeCell="A1" sqref="A1"/>
      <selection pane="topRight" activeCell="B37" sqref="B37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34.28125" style="0" customWidth="1"/>
    <col min="4" max="4" width="21.8515625" style="0" customWidth="1"/>
    <col min="5" max="5" width="18.140625" style="0" customWidth="1"/>
    <col min="6" max="6" width="26.57421875" style="0" customWidth="1"/>
    <col min="7" max="7" width="24.2812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22.57421875" style="0" customWidth="1"/>
    <col min="14" max="14" width="13.8515625" style="0" customWidth="1"/>
    <col min="15" max="15" width="8.8515625" style="0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.75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30</v>
      </c>
      <c r="B2" s="1"/>
      <c r="C2" s="97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24" t="s">
        <v>64</v>
      </c>
      <c r="B4" s="1"/>
      <c r="C4" s="1"/>
      <c r="F4" s="1"/>
      <c r="G4" s="1"/>
      <c r="J4" s="1"/>
      <c r="K4" s="1"/>
      <c r="L4" s="1"/>
      <c r="M4" t="s">
        <v>2</v>
      </c>
      <c r="N4" s="6"/>
      <c r="O4" s="8"/>
    </row>
    <row r="5" spans="1:13" ht="13.5" thickBot="1">
      <c r="A5" s="96" t="s">
        <v>31</v>
      </c>
      <c r="B5" s="4">
        <v>694.77</v>
      </c>
      <c r="C5" s="1"/>
      <c r="D5" s="1"/>
      <c r="E5" s="1"/>
      <c r="F5" s="1"/>
      <c r="G5" s="1"/>
      <c r="J5" s="1"/>
      <c r="K5" s="1"/>
      <c r="L5" s="1"/>
      <c r="M5" s="27" t="str">
        <f>+G9</f>
        <v>al 31 de diciembre de 2018</v>
      </c>
    </row>
    <row r="6" spans="1:13" ht="12.75">
      <c r="A6" s="1" t="s">
        <v>32</v>
      </c>
      <c r="B6" s="112">
        <f>DATE(18,12,31)</f>
        <v>6940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30"/>
      <c r="K7" s="1"/>
      <c r="L7" s="1"/>
    </row>
    <row r="8" spans="1:15" ht="15">
      <c r="A8" s="67" t="s">
        <v>33</v>
      </c>
      <c r="B8" s="99" t="s">
        <v>56</v>
      </c>
      <c r="C8" s="99" t="s">
        <v>57</v>
      </c>
      <c r="D8" s="100"/>
      <c r="E8" s="100"/>
      <c r="F8" s="99" t="s">
        <v>58</v>
      </c>
      <c r="G8" s="99" t="s">
        <v>59</v>
      </c>
      <c r="H8" s="119" t="s">
        <v>17</v>
      </c>
      <c r="I8" s="120"/>
      <c r="K8" s="1"/>
      <c r="L8" s="1"/>
      <c r="M8" t="s">
        <v>70</v>
      </c>
      <c r="N8" s="104"/>
      <c r="O8" s="7"/>
    </row>
    <row r="9" spans="1:12" ht="12.75">
      <c r="A9" s="68"/>
      <c r="B9" s="101" t="s">
        <v>65</v>
      </c>
      <c r="C9" s="101" t="str">
        <f>+B9</f>
        <v>al 31 de diciembre de 2018</v>
      </c>
      <c r="D9" s="101" t="s">
        <v>60</v>
      </c>
      <c r="E9" s="101" t="s">
        <v>61</v>
      </c>
      <c r="F9" s="101" t="str">
        <f>+C9</f>
        <v>al 31 de diciembre de 2018</v>
      </c>
      <c r="G9" s="101" t="str">
        <f>+F9</f>
        <v>al 31 de diciembre de 2018</v>
      </c>
      <c r="H9" s="102" t="s">
        <v>62</v>
      </c>
      <c r="I9" s="103" t="s">
        <v>63</v>
      </c>
      <c r="K9" s="1"/>
      <c r="L9" s="1"/>
    </row>
    <row r="10" spans="1:20" ht="15">
      <c r="A10" s="92" t="s">
        <v>34</v>
      </c>
      <c r="B10" s="49"/>
      <c r="C10" s="49"/>
      <c r="D10" s="49"/>
      <c r="E10" s="49"/>
      <c r="F10" s="49"/>
      <c r="G10" s="50"/>
      <c r="H10" s="84">
        <v>353116</v>
      </c>
      <c r="I10" s="51">
        <f>(+H10/B$5)</f>
        <v>508.2487729752292</v>
      </c>
      <c r="K10" s="6"/>
      <c r="L10" s="3"/>
      <c r="M10" t="s">
        <v>18</v>
      </c>
      <c r="N10" s="6">
        <f>+I10</f>
        <v>508.2487729752292</v>
      </c>
      <c r="O10" s="8">
        <f>+N10/N21</f>
        <v>0.06397221528434109</v>
      </c>
      <c r="T10" s="8"/>
    </row>
    <row r="11" spans="1:20" ht="15">
      <c r="A11" s="69" t="s">
        <v>35</v>
      </c>
      <c r="B11" s="49"/>
      <c r="C11" s="49"/>
      <c r="D11" s="49"/>
      <c r="E11" s="49"/>
      <c r="F11" s="49"/>
      <c r="G11" s="50"/>
      <c r="H11" s="84"/>
      <c r="I11" s="14"/>
      <c r="K11" s="6"/>
      <c r="L11" s="1"/>
      <c r="M11" s="93" t="s">
        <v>24</v>
      </c>
      <c r="N11" s="6">
        <f>+I22</f>
        <v>586.7043140545504</v>
      </c>
      <c r="O11" s="8">
        <f>+N11/$N$21</f>
        <v>0.07384725095790565</v>
      </c>
      <c r="T11" s="22"/>
    </row>
    <row r="12" spans="1:20" ht="14.25">
      <c r="A12" s="70" t="s">
        <v>4</v>
      </c>
      <c r="B12" s="95">
        <v>101017081114</v>
      </c>
      <c r="C12" s="105">
        <f>+C50</f>
        <v>14418964454.532265</v>
      </c>
      <c r="D12" s="52">
        <f>+C72+110838094</f>
        <v>13987005996</v>
      </c>
      <c r="E12" s="49">
        <f>+D12/B12</f>
        <v>0.13846179123128055</v>
      </c>
      <c r="F12" s="105">
        <f>+C12*E12</f>
        <v>1996475646.0747015</v>
      </c>
      <c r="G12" s="108">
        <f>+G50</f>
        <v>99.17</v>
      </c>
      <c r="H12" s="85">
        <f>+G12*D12/1000000</f>
        <v>1387091.38462332</v>
      </c>
      <c r="I12" s="14">
        <f>(+H12/B$5)</f>
        <v>1996.4756460747012</v>
      </c>
      <c r="K12" s="6"/>
      <c r="L12" s="1"/>
      <c r="M12" s="93" t="s">
        <v>29</v>
      </c>
      <c r="N12" s="5">
        <f>+I24</f>
        <v>437.9701106213135</v>
      </c>
      <c r="O12" s="8">
        <f>+N12/$N$21</f>
        <v>0.0551263863181798</v>
      </c>
      <c r="T12" s="22"/>
    </row>
    <row r="13" spans="1:20" ht="14.25">
      <c r="A13" s="70"/>
      <c r="B13" s="52"/>
      <c r="C13" s="53"/>
      <c r="D13" s="52"/>
      <c r="E13" s="49"/>
      <c r="F13" s="53"/>
      <c r="G13" s="108"/>
      <c r="H13" s="85"/>
      <c r="I13" s="14"/>
      <c r="K13" s="6"/>
      <c r="L13" s="1"/>
      <c r="M13" s="93"/>
      <c r="N13" s="5"/>
      <c r="O13" s="8"/>
      <c r="T13" s="22"/>
    </row>
    <row r="14" spans="1:22" ht="14.25">
      <c r="A14" s="70" t="s">
        <v>9</v>
      </c>
      <c r="B14" s="52">
        <f>+B56</f>
        <v>12138504795</v>
      </c>
      <c r="C14" s="105">
        <f>+C56</f>
        <v>5465237585.19654</v>
      </c>
      <c r="D14" s="52">
        <f>+C76</f>
        <v>3534624218</v>
      </c>
      <c r="E14" s="49">
        <f>+D14/B14</f>
        <v>0.29119107152768564</v>
      </c>
      <c r="F14" s="105">
        <f>+F62</f>
        <v>1604156073.747931</v>
      </c>
      <c r="G14" s="109" t="s">
        <v>12</v>
      </c>
      <c r="H14" s="85">
        <f>+F14*B5/1000000</f>
        <v>1114519.5153578501</v>
      </c>
      <c r="I14" s="14">
        <f>(+H14/B$5)</f>
        <v>1604.1560737479313</v>
      </c>
      <c r="J14" s="6"/>
      <c r="L14" s="1"/>
      <c r="M14" t="s">
        <v>19</v>
      </c>
      <c r="N14" s="6">
        <f>+I12+I14+I13</f>
        <v>3600.6317198226325</v>
      </c>
      <c r="O14" s="8">
        <f aca="true" t="shared" si="0" ref="O14:O19">+N14/$N$21</f>
        <v>0.4532040209201783</v>
      </c>
      <c r="S14" s="93"/>
      <c r="T14" s="22"/>
      <c r="V14" s="115"/>
    </row>
    <row r="15" spans="1:22" ht="15">
      <c r="A15" s="69" t="s">
        <v>36</v>
      </c>
      <c r="B15" s="52"/>
      <c r="C15" s="53"/>
      <c r="D15" s="52"/>
      <c r="E15" s="49"/>
      <c r="F15" s="53"/>
      <c r="G15" s="109"/>
      <c r="H15" s="85"/>
      <c r="I15" s="14"/>
      <c r="J15" s="6"/>
      <c r="L15" s="1"/>
      <c r="M15" t="s">
        <v>21</v>
      </c>
      <c r="N15" s="6">
        <f>+I16</f>
        <v>1422.4878874804613</v>
      </c>
      <c r="O15" s="8">
        <f t="shared" si="0"/>
        <v>0.1790455899078043</v>
      </c>
      <c r="R15" s="93"/>
      <c r="S15" s="93"/>
      <c r="T15" s="22"/>
      <c r="V15" s="115"/>
    </row>
    <row r="16" spans="1:22" ht="14.25">
      <c r="A16" s="70" t="s">
        <v>1</v>
      </c>
      <c r="B16" s="52">
        <v>369502872</v>
      </c>
      <c r="C16" s="105">
        <f>(+B16*G16)/B$5</f>
        <v>4741626445.590916</v>
      </c>
      <c r="D16" s="52">
        <f>110850858</f>
        <v>110850858</v>
      </c>
      <c r="E16" s="49">
        <f>+D16/B16</f>
        <v>0.29999999025717994</v>
      </c>
      <c r="F16" s="105">
        <f>+C16*E16</f>
        <v>1422487887.4804614</v>
      </c>
      <c r="G16" s="108">
        <v>8915.6</v>
      </c>
      <c r="H16" s="85">
        <f>+G16*D16/1000000</f>
        <v>988301.9095848</v>
      </c>
      <c r="I16" s="14">
        <f>(+H16/B$5)</f>
        <v>1422.4878874804613</v>
      </c>
      <c r="J16" s="6"/>
      <c r="L16" s="1"/>
      <c r="M16" t="s">
        <v>20</v>
      </c>
      <c r="N16" s="6">
        <f>+I19+I20</f>
        <v>485.9248384357413</v>
      </c>
      <c r="O16" s="8">
        <f t="shared" si="0"/>
        <v>0.061162348104547105</v>
      </c>
      <c r="R16" s="93"/>
      <c r="S16" s="93"/>
      <c r="T16" s="22"/>
      <c r="V16" s="115"/>
    </row>
    <row r="17" spans="1:22" ht="15">
      <c r="A17" s="71"/>
      <c r="B17" s="52"/>
      <c r="C17" s="53"/>
      <c r="D17" s="52"/>
      <c r="E17" s="49"/>
      <c r="F17" s="53"/>
      <c r="G17" s="108"/>
      <c r="H17" s="85"/>
      <c r="I17" s="14"/>
      <c r="J17" s="6"/>
      <c r="L17" s="1"/>
      <c r="M17" t="s">
        <v>26</v>
      </c>
      <c r="N17" s="5">
        <f>+I26</f>
        <v>840.7501763173425</v>
      </c>
      <c r="O17" s="8">
        <f t="shared" si="0"/>
        <v>0.10582347491932281</v>
      </c>
      <c r="R17" s="93"/>
      <c r="S17" s="93"/>
      <c r="T17" s="22"/>
      <c r="V17" s="115"/>
    </row>
    <row r="18" spans="1:22" ht="15">
      <c r="A18" s="69" t="s">
        <v>37</v>
      </c>
      <c r="B18" s="52"/>
      <c r="C18" s="53"/>
      <c r="D18" s="52"/>
      <c r="E18" s="49"/>
      <c r="F18" s="53"/>
      <c r="G18" s="108"/>
      <c r="H18" s="85"/>
      <c r="I18" s="14"/>
      <c r="J18" s="6"/>
      <c r="L18" s="1"/>
      <c r="N18" s="6"/>
      <c r="O18" s="8">
        <f t="shared" si="0"/>
        <v>0</v>
      </c>
      <c r="T18" s="22"/>
      <c r="V18" s="115"/>
    </row>
    <row r="19" spans="1:20" ht="14.25">
      <c r="A19" s="72" t="s">
        <v>27</v>
      </c>
      <c r="B19" s="55">
        <v>22422000000</v>
      </c>
      <c r="C19" s="117" t="s">
        <v>11</v>
      </c>
      <c r="D19" s="55">
        <v>22126166227</v>
      </c>
      <c r="E19" s="57">
        <f>+D19/B19</f>
        <v>0.9868060934350191</v>
      </c>
      <c r="F19" s="117" t="s">
        <v>11</v>
      </c>
      <c r="G19" s="116" t="s">
        <v>11</v>
      </c>
      <c r="H19" s="85">
        <v>237228</v>
      </c>
      <c r="I19" s="14">
        <f>(+H19/B$5)</f>
        <v>341.4482490608403</v>
      </c>
      <c r="J19" s="37" t="s">
        <v>66</v>
      </c>
      <c r="L19" s="1"/>
      <c r="M19" t="s">
        <v>71</v>
      </c>
      <c r="N19" s="36">
        <f>+I29</f>
        <v>62.118398894598215</v>
      </c>
      <c r="O19" s="8">
        <f t="shared" si="0"/>
        <v>0.007818713587720728</v>
      </c>
      <c r="T19" s="8"/>
    </row>
    <row r="20" spans="1:20" ht="14.25">
      <c r="A20" s="72" t="s">
        <v>28</v>
      </c>
      <c r="B20" s="55">
        <v>751740</v>
      </c>
      <c r="C20" s="117" t="s">
        <v>11</v>
      </c>
      <c r="D20" s="55">
        <v>751523</v>
      </c>
      <c r="E20" s="57">
        <f>+D20/B20</f>
        <v>0.9997113363662968</v>
      </c>
      <c r="F20" s="117" t="s">
        <v>11</v>
      </c>
      <c r="G20" s="116" t="s">
        <v>11</v>
      </c>
      <c r="H20" s="85">
        <v>100378</v>
      </c>
      <c r="I20" s="14">
        <f>(+H20/B$5)</f>
        <v>144.47658937490104</v>
      </c>
      <c r="J20" s="37" t="s">
        <v>67</v>
      </c>
      <c r="L20" s="1"/>
      <c r="N20" s="36"/>
      <c r="O20" s="8"/>
      <c r="T20" s="8"/>
    </row>
    <row r="21" spans="1:15" ht="15">
      <c r="A21" s="69" t="s">
        <v>38</v>
      </c>
      <c r="B21" s="52"/>
      <c r="C21" s="53"/>
      <c r="D21" s="52"/>
      <c r="E21" s="49"/>
      <c r="F21" s="53"/>
      <c r="G21" s="108"/>
      <c r="H21" s="85"/>
      <c r="I21" s="14"/>
      <c r="J21" s="6"/>
      <c r="L21" s="1"/>
      <c r="M21" t="s">
        <v>13</v>
      </c>
      <c r="N21" s="6">
        <f>SUM(N10:N19)</f>
        <v>7944.83621860187</v>
      </c>
      <c r="O21" s="8">
        <f>SUM(O10:O19)</f>
        <v>0.9999999999999997</v>
      </c>
    </row>
    <row r="22" spans="1:15" ht="14.25">
      <c r="A22" s="72" t="s">
        <v>23</v>
      </c>
      <c r="B22" s="55">
        <v>36796876188</v>
      </c>
      <c r="C22" s="105">
        <f>(+B22*G22)/B$5</f>
        <v>1044423907.8074183</v>
      </c>
      <c r="D22" s="55">
        <v>20670616444</v>
      </c>
      <c r="E22" s="57">
        <f>+D22/B22</f>
        <v>0.5617492185584219</v>
      </c>
      <c r="F22" s="105">
        <f>+C22*E22</f>
        <v>586704314.0545505</v>
      </c>
      <c r="G22" s="110">
        <v>19.72</v>
      </c>
      <c r="H22" s="85">
        <f>+G22*D22/1000000</f>
        <v>407624.55627568</v>
      </c>
      <c r="I22" s="14">
        <f>(+H22/B$5)</f>
        <v>586.7043140545504</v>
      </c>
      <c r="J22" s="6"/>
      <c r="L22" s="1"/>
      <c r="M22" t="s">
        <v>72</v>
      </c>
      <c r="N22" s="6">
        <f>I35</f>
        <v>-1380.2529700476416</v>
      </c>
      <c r="O22" s="8"/>
    </row>
    <row r="23" spans="1:15" ht="15">
      <c r="A23" s="94" t="s">
        <v>39</v>
      </c>
      <c r="B23" s="55"/>
      <c r="C23" s="56"/>
      <c r="D23" s="55"/>
      <c r="E23" s="57"/>
      <c r="F23" s="56"/>
      <c r="G23" s="110"/>
      <c r="H23" s="85"/>
      <c r="I23" s="14"/>
      <c r="J23" s="6"/>
      <c r="L23" s="1"/>
      <c r="N23" s="6"/>
      <c r="O23" s="8"/>
    </row>
    <row r="24" spans="1:15" ht="14.25">
      <c r="A24" s="72" t="s">
        <v>40</v>
      </c>
      <c r="B24" s="55">
        <v>9736791983</v>
      </c>
      <c r="C24" s="105">
        <f>(+B24*G24)/B$5</f>
        <v>839042756.6276753</v>
      </c>
      <c r="D24" s="55">
        <v>5082486951</v>
      </c>
      <c r="E24" s="57">
        <f>+D24/B24</f>
        <v>0.5219878333514564</v>
      </c>
      <c r="F24" s="105">
        <f>+C24*E24</f>
        <v>437970110.6213135</v>
      </c>
      <c r="G24" s="110">
        <v>59.87</v>
      </c>
      <c r="H24" s="85">
        <f>+G24*D24/1000000</f>
        <v>304288.49375637</v>
      </c>
      <c r="I24" s="14">
        <f>(+H24/B$5)</f>
        <v>437.9701106213135</v>
      </c>
      <c r="J24" s="6"/>
      <c r="L24" s="1"/>
      <c r="N24" s="6"/>
      <c r="O24" s="8"/>
    </row>
    <row r="25" spans="1:15" ht="15">
      <c r="A25" s="69" t="s">
        <v>41</v>
      </c>
      <c r="B25" s="55"/>
      <c r="C25" s="56"/>
      <c r="D25" s="55"/>
      <c r="E25" s="57"/>
      <c r="F25" s="58"/>
      <c r="G25" s="110"/>
      <c r="H25" s="85"/>
      <c r="I25" s="14"/>
      <c r="J25" s="6"/>
      <c r="L25" s="1"/>
      <c r="N25" s="6"/>
      <c r="O25" s="8"/>
    </row>
    <row r="26" spans="1:15" ht="14.25">
      <c r="A26" s="72" t="s">
        <v>25</v>
      </c>
      <c r="B26" s="62" t="s">
        <v>11</v>
      </c>
      <c r="C26" s="62" t="s">
        <v>11</v>
      </c>
      <c r="D26" s="62" t="s">
        <v>11</v>
      </c>
      <c r="E26" s="57">
        <v>1</v>
      </c>
      <c r="F26" s="62" t="s">
        <v>11</v>
      </c>
      <c r="G26" s="63" t="s">
        <v>11</v>
      </c>
      <c r="H26" s="118">
        <v>584128</v>
      </c>
      <c r="I26" s="14">
        <f>(+H26/B$5)</f>
        <v>840.7501763173425</v>
      </c>
      <c r="J26" s="37" t="s">
        <v>68</v>
      </c>
      <c r="L26" s="1"/>
      <c r="N26" s="6"/>
      <c r="O26" s="8"/>
    </row>
    <row r="27" spans="1:15" ht="14.25">
      <c r="A27" s="72"/>
      <c r="B27" s="55"/>
      <c r="C27" s="56"/>
      <c r="D27" s="55"/>
      <c r="E27" s="57"/>
      <c r="F27" s="58"/>
      <c r="G27" s="59"/>
      <c r="H27" s="85"/>
      <c r="I27" s="14"/>
      <c r="J27" s="6"/>
      <c r="L27" s="1"/>
      <c r="N27" s="6"/>
      <c r="O27" s="8"/>
    </row>
    <row r="28" spans="1:15" ht="15">
      <c r="A28" s="73"/>
      <c r="B28" s="60"/>
      <c r="C28" s="60"/>
      <c r="D28" s="60"/>
      <c r="E28" s="60"/>
      <c r="F28" s="60"/>
      <c r="G28" s="59"/>
      <c r="H28" s="48"/>
      <c r="I28" s="61"/>
      <c r="J28" s="6"/>
      <c r="L28" s="1"/>
      <c r="M28" t="s">
        <v>2</v>
      </c>
      <c r="N28" s="6">
        <f>+N21+N22</f>
        <v>6564.583248554229</v>
      </c>
      <c r="O28" s="8"/>
    </row>
    <row r="29" spans="1:12" ht="15">
      <c r="A29" s="69" t="s">
        <v>42</v>
      </c>
      <c r="B29" s="52"/>
      <c r="C29" s="64"/>
      <c r="D29" s="55"/>
      <c r="E29" s="52"/>
      <c r="F29" s="53"/>
      <c r="G29" s="50"/>
      <c r="H29" s="113">
        <v>43158</v>
      </c>
      <c r="I29" s="51">
        <f>H29/B$5</f>
        <v>62.118398894598215</v>
      </c>
      <c r="J29" s="37" t="s">
        <v>68</v>
      </c>
      <c r="L29" s="1"/>
    </row>
    <row r="30" spans="1:12" ht="12.75">
      <c r="A30" s="74"/>
      <c r="B30" s="49"/>
      <c r="C30" s="54"/>
      <c r="D30" s="52"/>
      <c r="E30" s="52"/>
      <c r="F30" s="53"/>
      <c r="G30" s="50"/>
      <c r="H30" s="84"/>
      <c r="I30" s="14"/>
      <c r="L30" s="1"/>
    </row>
    <row r="31" spans="1:14" ht="12.75">
      <c r="A31" s="78" t="s">
        <v>43</v>
      </c>
      <c r="B31" s="79"/>
      <c r="C31" s="80"/>
      <c r="D31" s="81"/>
      <c r="E31" s="79"/>
      <c r="F31" s="79"/>
      <c r="G31" s="82"/>
      <c r="H31" s="86">
        <f>SUM(H10:H30)</f>
        <v>5519833.859598019</v>
      </c>
      <c r="I31" s="83">
        <f>SUM(I10:I30)</f>
        <v>7944.836218601869</v>
      </c>
      <c r="L31" s="1"/>
      <c r="M31" s="23" t="s">
        <v>73</v>
      </c>
      <c r="N31" s="23">
        <f>+F40</f>
        <v>1662759593</v>
      </c>
    </row>
    <row r="32" spans="1:14" ht="15">
      <c r="A32" s="92" t="s">
        <v>44</v>
      </c>
      <c r="B32" s="12"/>
      <c r="C32" s="12"/>
      <c r="D32" s="12"/>
      <c r="E32" s="12"/>
      <c r="F32" s="12"/>
      <c r="G32" s="12"/>
      <c r="H32" s="84">
        <f>+B64</f>
        <v>958958.3559999999</v>
      </c>
      <c r="I32" s="51">
        <f>+H32/B5</f>
        <v>1380.2529700476416</v>
      </c>
      <c r="K32" s="1"/>
      <c r="L32" s="1"/>
      <c r="M32" s="23"/>
      <c r="N32" s="23"/>
    </row>
    <row r="33" spans="1:14" ht="13.5" thickBot="1">
      <c r="A33" s="75"/>
      <c r="B33" s="15"/>
      <c r="C33" s="15"/>
      <c r="D33" s="15"/>
      <c r="E33" s="15"/>
      <c r="F33" s="15"/>
      <c r="G33" s="15"/>
      <c r="H33" s="65"/>
      <c r="I33" s="66"/>
      <c r="K33" s="3"/>
      <c r="L33" s="1"/>
      <c r="M33" t="s">
        <v>74</v>
      </c>
      <c r="N33" s="23">
        <f>+N28*1000000</f>
        <v>6564583248.554229</v>
      </c>
    </row>
    <row r="34" spans="1:14" ht="12.75">
      <c r="A34" s="76" t="s">
        <v>45</v>
      </c>
      <c r="B34" s="9"/>
      <c r="C34" s="9"/>
      <c r="D34" s="9"/>
      <c r="E34" s="9"/>
      <c r="F34" s="9"/>
      <c r="G34" s="9"/>
      <c r="H34" s="10">
        <f>+H31</f>
        <v>5519833.859598019</v>
      </c>
      <c r="I34" s="11">
        <f>H34/B$5</f>
        <v>7944.836218601868</v>
      </c>
      <c r="K34" s="1"/>
      <c r="L34" s="1"/>
      <c r="M34" s="23"/>
      <c r="N34" s="23"/>
    </row>
    <row r="35" spans="1:14" ht="12.75">
      <c r="A35" s="77" t="s">
        <v>46</v>
      </c>
      <c r="B35" s="12"/>
      <c r="C35" s="12"/>
      <c r="D35" s="12"/>
      <c r="E35" s="12"/>
      <c r="F35" s="12"/>
      <c r="G35" s="12"/>
      <c r="H35" s="13">
        <f>-H32</f>
        <v>-958958.3559999999</v>
      </c>
      <c r="I35" s="14">
        <f>H35/B$5</f>
        <v>-1380.2529700476416</v>
      </c>
      <c r="K35" s="1"/>
      <c r="L35" s="1"/>
      <c r="M35" t="s">
        <v>75</v>
      </c>
      <c r="N35" s="26">
        <f>+B5</f>
        <v>694.77</v>
      </c>
    </row>
    <row r="36" spans="1:14" ht="13.5" thickBot="1">
      <c r="A36" s="42" t="s">
        <v>47</v>
      </c>
      <c r="B36" s="15"/>
      <c r="C36" s="15"/>
      <c r="D36" s="15"/>
      <c r="E36" s="15"/>
      <c r="F36" s="15"/>
      <c r="G36" s="87" t="s">
        <v>2</v>
      </c>
      <c r="H36" s="42">
        <f>+H34+H35</f>
        <v>4560875.5035980195</v>
      </c>
      <c r="I36" s="43">
        <f>+I34+I35</f>
        <v>6564.583248554226</v>
      </c>
      <c r="K36" s="1"/>
      <c r="L36" s="1"/>
      <c r="N36" s="6"/>
    </row>
    <row r="37" spans="1:14" ht="12.75">
      <c r="A37" s="44"/>
      <c r="B37" s="12"/>
      <c r="C37" s="12"/>
      <c r="D37" s="12"/>
      <c r="E37" s="12"/>
      <c r="F37" s="12"/>
      <c r="G37" s="12"/>
      <c r="H37" s="44"/>
      <c r="I37" s="45"/>
      <c r="K37" s="1"/>
      <c r="L37" s="1"/>
      <c r="M37" s="23" t="s">
        <v>76</v>
      </c>
      <c r="N37" s="40">
        <f>+(N33*N35)/N31</f>
        <v>2742.9554595858053</v>
      </c>
    </row>
    <row r="38" spans="1:14" ht="12.75">
      <c r="A38" s="1"/>
      <c r="B38" s="1"/>
      <c r="C38" s="1"/>
      <c r="D38" s="1"/>
      <c r="E38" s="1"/>
      <c r="F38" s="39" t="s">
        <v>69</v>
      </c>
      <c r="G38" s="46">
        <f>+H36*1000000/F40</f>
        <v>2742.955459585804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5" thickBot="1">
      <c r="A40" s="88" t="s">
        <v>15</v>
      </c>
      <c r="B40" s="16"/>
      <c r="C40" s="16"/>
      <c r="D40" s="16"/>
      <c r="E40" s="16"/>
      <c r="F40" s="98">
        <f>1662759593</f>
        <v>1662759593</v>
      </c>
      <c r="G40" s="111">
        <v>1806.4</v>
      </c>
      <c r="H40" s="17">
        <f>+G40*F40/1000000</f>
        <v>3003608.9287952003</v>
      </c>
      <c r="I40" s="18">
        <f>H40/B$5</f>
        <v>4323.170155296286</v>
      </c>
      <c r="K40" s="1"/>
      <c r="L40" s="1"/>
      <c r="N40" s="6"/>
    </row>
    <row r="41" spans="1:12" ht="13.5" thickBot="1">
      <c r="A41" s="29" t="s">
        <v>3</v>
      </c>
      <c r="B41" s="1"/>
      <c r="C41" s="1"/>
      <c r="D41" s="1"/>
      <c r="E41" s="1"/>
      <c r="F41" s="1"/>
      <c r="G41" s="1"/>
      <c r="H41" s="19">
        <f>(H40-H36)/H36</f>
        <v>-0.3414402725034504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9" t="s">
        <v>48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2"/>
      <c r="B48" s="31" t="str">
        <f>+B8</f>
        <v>Total acciones S/P</v>
      </c>
      <c r="C48" s="31" t="str">
        <f>+C8</f>
        <v>Valor bursátil de la empresa en USD</v>
      </c>
      <c r="F48" s="31" t="str">
        <f>+F8</f>
        <v>Valor de la inversión (USD)</v>
      </c>
      <c r="G48" s="31" t="str">
        <f>+G8</f>
        <v>Precio por acción ($)</v>
      </c>
      <c r="H48" s="1"/>
      <c r="I48" s="1"/>
      <c r="J48" s="1"/>
      <c r="K48" s="1"/>
      <c r="L48" s="34"/>
      <c r="M48" s="23"/>
    </row>
    <row r="49" spans="1:13" ht="12.75">
      <c r="A49" s="1"/>
      <c r="B49" s="33" t="str">
        <f>+B9</f>
        <v>al 31 de diciembre de 2018</v>
      </c>
      <c r="C49" s="33" t="str">
        <f>+B49</f>
        <v>al 31 de diciembre de 2018</v>
      </c>
      <c r="D49" s="33" t="str">
        <f>+D9</f>
        <v>Acciones de Quiñenco </v>
      </c>
      <c r="E49" s="33" t="str">
        <f>+E9</f>
        <v>Participación %</v>
      </c>
      <c r="F49" s="33" t="str">
        <f>+B49</f>
        <v>al 31 de diciembre de 2018</v>
      </c>
      <c r="G49" s="33" t="str">
        <f>+F49</f>
        <v>al 31 de diciembre de 2018</v>
      </c>
      <c r="I49" s="1"/>
      <c r="J49" s="5"/>
      <c r="K49" s="1"/>
      <c r="L49" s="1"/>
      <c r="M49" s="35"/>
    </row>
    <row r="50" spans="1:12" ht="12.75">
      <c r="A50" s="1" t="s">
        <v>4</v>
      </c>
      <c r="B50" s="1">
        <f>+B12</f>
        <v>101017081114</v>
      </c>
      <c r="C50" s="105">
        <f aca="true" t="shared" si="1" ref="C50:C55">(+B50*G50)/B$5</f>
        <v>14418964454.532265</v>
      </c>
      <c r="D50" s="1">
        <f>+D12</f>
        <v>13987005996</v>
      </c>
      <c r="E50" s="22">
        <f>+D50/B50</f>
        <v>0.13846179123128055</v>
      </c>
      <c r="F50" s="107">
        <f>+C50*E50</f>
        <v>1996475646.0747015</v>
      </c>
      <c r="G50" s="26">
        <v>99.17</v>
      </c>
      <c r="I50" s="1"/>
      <c r="J50" s="5"/>
      <c r="K50" s="1"/>
      <c r="L50" s="1"/>
    </row>
    <row r="51" spans="1:12" ht="12.75">
      <c r="A51" s="96"/>
      <c r="B51" s="1"/>
      <c r="C51" s="1">
        <f t="shared" si="1"/>
        <v>0</v>
      </c>
      <c r="D51" s="31" t="s">
        <v>22</v>
      </c>
      <c r="E51" s="22"/>
      <c r="F51" s="1"/>
      <c r="G51" s="26"/>
      <c r="I51" s="1"/>
      <c r="J51" s="5"/>
      <c r="K51" s="1"/>
      <c r="L51" s="1"/>
    </row>
    <row r="52" spans="1:12" ht="12.75">
      <c r="A52" s="1" t="s">
        <v>5</v>
      </c>
      <c r="B52" s="1">
        <v>567712826</v>
      </c>
      <c r="C52" s="105">
        <f>(+B52*G52)/B$5</f>
        <v>242685650.3907768</v>
      </c>
      <c r="D52" s="1">
        <v>377528973</v>
      </c>
      <c r="E52" s="22">
        <f>+D52/B52</f>
        <v>0.6649999008477572</v>
      </c>
      <c r="F52" s="105">
        <f>+C52*E52</f>
        <v>161385933.44704005</v>
      </c>
      <c r="G52" s="38">
        <v>297</v>
      </c>
      <c r="I52" s="1"/>
      <c r="J52" s="5"/>
      <c r="K52" s="1"/>
      <c r="L52" s="1"/>
    </row>
    <row r="53" spans="1:13" ht="12.75">
      <c r="A53" s="1" t="s">
        <v>6</v>
      </c>
      <c r="B53" s="1">
        <v>11000000000</v>
      </c>
      <c r="C53" s="105">
        <f t="shared" si="1"/>
        <v>5014810656.764109</v>
      </c>
      <c r="D53" s="1">
        <v>6468355155</v>
      </c>
      <c r="E53" s="22">
        <f>+D53/B53</f>
        <v>0.5880322868181819</v>
      </c>
      <c r="F53" s="105">
        <f>+C53*E53</f>
        <v>2948870578.457187</v>
      </c>
      <c r="G53" s="38">
        <v>316.74</v>
      </c>
      <c r="I53" s="1"/>
      <c r="J53" s="5"/>
      <c r="K53" s="1"/>
      <c r="L53" s="1"/>
      <c r="M53" s="23"/>
    </row>
    <row r="54" spans="1:12" ht="12.75">
      <c r="A54" s="1" t="s">
        <v>7</v>
      </c>
      <c r="B54" s="1">
        <v>429418369</v>
      </c>
      <c r="C54" s="105">
        <f t="shared" si="1"/>
        <v>188512173.15802354</v>
      </c>
      <c r="D54" s="1">
        <v>223364308</v>
      </c>
      <c r="E54" s="22">
        <f>+D54/B54</f>
        <v>0.5201554570666258</v>
      </c>
      <c r="F54" s="105">
        <f>+C54*E54</f>
        <v>98055635.59163465</v>
      </c>
      <c r="G54" s="38">
        <v>305</v>
      </c>
      <c r="I54" s="1"/>
      <c r="J54" s="5"/>
      <c r="K54" s="1"/>
      <c r="L54" s="1"/>
    </row>
    <row r="55" spans="1:12" ht="12.75">
      <c r="A55" s="1" t="s">
        <v>8</v>
      </c>
      <c r="B55" s="27">
        <v>141373600</v>
      </c>
      <c r="C55" s="106">
        <f t="shared" si="1"/>
        <v>19229104.883630555</v>
      </c>
      <c r="D55" s="27">
        <v>0</v>
      </c>
      <c r="E55" s="28">
        <f>+D55/B55</f>
        <v>0</v>
      </c>
      <c r="F55" s="106">
        <f>+C55*E55</f>
        <v>0</v>
      </c>
      <c r="G55" s="38">
        <v>94.5</v>
      </c>
      <c r="H55" s="1"/>
      <c r="I55" s="1"/>
      <c r="J55" s="1"/>
      <c r="K55" s="1"/>
      <c r="L55" s="34"/>
    </row>
    <row r="56" spans="1:12" ht="12.75">
      <c r="A56" s="1" t="s">
        <v>10</v>
      </c>
      <c r="B56" s="1">
        <f>SUM(B52:B55)</f>
        <v>12138504795</v>
      </c>
      <c r="C56" s="105">
        <f>SUM(C52:C55)</f>
        <v>5465237585.19654</v>
      </c>
      <c r="D56" s="1">
        <f>SUM(D52:D55)</f>
        <v>7069248436</v>
      </c>
      <c r="E56" s="22">
        <f>+D56/B56</f>
        <v>0.5823821430553713</v>
      </c>
      <c r="F56" s="105">
        <f>SUM(F52:F55)</f>
        <v>3208312147.495862</v>
      </c>
      <c r="G56" s="1"/>
      <c r="H56" s="1"/>
      <c r="I56" s="1"/>
      <c r="J56" s="1"/>
      <c r="L56" s="1"/>
    </row>
    <row r="57" spans="1:12" ht="12.75">
      <c r="A57" s="1"/>
      <c r="B57" s="1"/>
      <c r="C57" s="1"/>
      <c r="D57" s="1"/>
      <c r="E57" s="22"/>
      <c r="F57" s="1"/>
      <c r="G57" s="1"/>
      <c r="H57" s="1"/>
      <c r="I57" s="1"/>
      <c r="J57" s="1"/>
      <c r="L57" s="1"/>
    </row>
    <row r="58" spans="1:12" ht="12.75">
      <c r="A58" s="1"/>
      <c r="B58" s="1"/>
      <c r="C58" s="1"/>
      <c r="D58" s="1"/>
      <c r="E58" s="1"/>
      <c r="F58" s="105">
        <f>+F50+F56</f>
        <v>5204787793.570563</v>
      </c>
      <c r="G58" s="1"/>
      <c r="L58" s="1"/>
    </row>
    <row r="59" spans="2:12" ht="12.75">
      <c r="B59" s="31" t="str">
        <f>+H9</f>
        <v>MM$</v>
      </c>
      <c r="C59" s="31" t="str">
        <f>+I9</f>
        <v>MMUSD</v>
      </c>
      <c r="L59" s="1"/>
    </row>
    <row r="60" spans="1:12" ht="12.75">
      <c r="A60" t="s">
        <v>49</v>
      </c>
      <c r="B60" s="3">
        <v>834208.222</v>
      </c>
      <c r="C60" s="6">
        <f>+B60/B5</f>
        <v>1200.6969529484577</v>
      </c>
      <c r="D60" s="23"/>
      <c r="H60" s="23"/>
      <c r="L60" s="1"/>
    </row>
    <row r="61" spans="1:8" ht="12.75">
      <c r="A61" t="s">
        <v>50</v>
      </c>
      <c r="B61" s="3">
        <v>27917.833</v>
      </c>
      <c r="C61" s="5">
        <f>+B61/B5</f>
        <v>40.18284180376239</v>
      </c>
      <c r="D61" s="1"/>
      <c r="E61" s="1"/>
      <c r="H61" s="23"/>
    </row>
    <row r="62" spans="1:8" ht="12.75">
      <c r="A62" t="s">
        <v>51</v>
      </c>
      <c r="B62" s="3">
        <v>96832.301</v>
      </c>
      <c r="C62" s="5">
        <f>+B62/B5</f>
        <v>139.37317529542153</v>
      </c>
      <c r="F62" s="105">
        <f>+F56*G62</f>
        <v>1604156073.747931</v>
      </c>
      <c r="G62" s="22">
        <v>0.5</v>
      </c>
      <c r="H62" s="23" t="s">
        <v>15</v>
      </c>
    </row>
    <row r="63" spans="2:8" ht="12.75">
      <c r="B63" s="3"/>
      <c r="C63" s="5"/>
      <c r="F63" s="1"/>
      <c r="G63" s="22"/>
      <c r="H63" s="23"/>
    </row>
    <row r="64" spans="1:8" ht="12.75">
      <c r="A64" s="24" t="s">
        <v>52</v>
      </c>
      <c r="B64" s="114">
        <f>+B60+B61+B62+B63</f>
        <v>958958.3559999999</v>
      </c>
      <c r="C64" s="90">
        <f>+C60+C61+C62</f>
        <v>1380.2529700476416</v>
      </c>
      <c r="D64" s="1"/>
      <c r="F64" s="105">
        <f>+G64*F56</f>
        <v>1604156073.747931</v>
      </c>
      <c r="G64" s="22">
        <v>0.5</v>
      </c>
      <c r="H64" s="23" t="s">
        <v>16</v>
      </c>
    </row>
    <row r="65" spans="2:8" ht="12.75">
      <c r="B65" s="1"/>
      <c r="C65" s="1"/>
      <c r="D65" s="1"/>
      <c r="F65" s="105">
        <f>+F62+F64</f>
        <v>3208312147.495862</v>
      </c>
      <c r="G65" s="22">
        <f>+G62+G64</f>
        <v>1</v>
      </c>
      <c r="H65" s="23"/>
    </row>
    <row r="66" spans="2:6" ht="12.75">
      <c r="B66" s="1"/>
      <c r="C66" s="1"/>
      <c r="F66" s="1"/>
    </row>
    <row r="67" spans="1:6" ht="12.75">
      <c r="A67" t="s">
        <v>55</v>
      </c>
      <c r="B67" s="1"/>
      <c r="C67" s="1"/>
      <c r="F67" s="1"/>
    </row>
    <row r="68" spans="1:6" ht="12.75">
      <c r="A68" t="s">
        <v>54</v>
      </c>
      <c r="C68" s="1"/>
      <c r="F68" s="39"/>
    </row>
    <row r="69" spans="3:6" ht="12.75">
      <c r="C69" s="1"/>
      <c r="F69" s="39"/>
    </row>
    <row r="70" spans="2:6" ht="12.75">
      <c r="B70" s="39" t="s">
        <v>4</v>
      </c>
      <c r="C70" s="39" t="s">
        <v>15</v>
      </c>
      <c r="D70" s="39" t="s">
        <v>16</v>
      </c>
      <c r="E70" s="26"/>
      <c r="F70" s="26"/>
    </row>
    <row r="71" spans="2:6" ht="12.75">
      <c r="B71" s="22">
        <f>+C71+D71</f>
        <v>1</v>
      </c>
      <c r="C71" s="91">
        <v>0.5</v>
      </c>
      <c r="D71" s="91">
        <v>0.5</v>
      </c>
      <c r="E71" s="23"/>
      <c r="F71" s="23">
        <f>26733861635+264480196</f>
        <v>26998341831</v>
      </c>
    </row>
    <row r="72" spans="1:6" ht="12.75">
      <c r="A72" t="s">
        <v>53</v>
      </c>
      <c r="B72" s="23">
        <v>27752335804</v>
      </c>
      <c r="C72" s="23">
        <f>+B72*C71</f>
        <v>13876167902</v>
      </c>
      <c r="D72" s="23">
        <f>+D71*B72</f>
        <v>13876167902</v>
      </c>
      <c r="E72" s="23"/>
      <c r="F72" s="26"/>
    </row>
    <row r="73" spans="2:6" ht="12.75">
      <c r="B73" s="23"/>
      <c r="C73" s="22"/>
      <c r="D73" s="22">
        <f>+D72/B72</f>
        <v>0.5</v>
      </c>
      <c r="E73" s="26"/>
      <c r="F73" s="26"/>
    </row>
    <row r="74" spans="2:6" ht="12.75">
      <c r="B74" s="23"/>
      <c r="C74" s="26"/>
      <c r="E74" s="26"/>
      <c r="F74" s="26"/>
    </row>
    <row r="75" spans="2:5" ht="12.75">
      <c r="B75" s="41" t="s">
        <v>14</v>
      </c>
      <c r="C75" s="39" t="s">
        <v>15</v>
      </c>
      <c r="D75" s="39" t="s">
        <v>16</v>
      </c>
      <c r="E75" s="23"/>
    </row>
    <row r="76" spans="2:5" ht="12.75">
      <c r="B76" s="23">
        <f>+D56</f>
        <v>7069248436</v>
      </c>
      <c r="C76" s="23">
        <f>+B76*C71</f>
        <v>3534624218</v>
      </c>
      <c r="D76" s="23">
        <f>+D71*B76</f>
        <v>3534624218</v>
      </c>
      <c r="E76" s="26"/>
    </row>
    <row r="77" spans="2:5" ht="12.75">
      <c r="B77" s="23"/>
      <c r="C77" s="26"/>
      <c r="D77" s="40"/>
      <c r="E77" s="26"/>
    </row>
    <row r="78" spans="2:6" ht="12.75">
      <c r="B78" s="23"/>
      <c r="C78" s="23"/>
      <c r="D78" s="40"/>
      <c r="E78" s="26"/>
      <c r="F78" s="23"/>
    </row>
    <row r="79" spans="2:5" ht="12.75">
      <c r="B79" s="23"/>
      <c r="C79" s="23"/>
      <c r="E79" s="26"/>
    </row>
    <row r="80" spans="2:5" ht="12.75">
      <c r="B80" s="23"/>
      <c r="C80" s="23"/>
      <c r="E80" s="26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6"/>
      <c r="C83" s="6"/>
    </row>
    <row r="84" ht="12.75">
      <c r="C84" s="6"/>
    </row>
    <row r="99" ht="12.75">
      <c r="B99">
        <v>139642577000</v>
      </c>
    </row>
    <row r="101" ht="12.75">
      <c r="B101">
        <v>1338335100</v>
      </c>
    </row>
    <row r="102" ht="12.75">
      <c r="B102">
        <v>1344577775</v>
      </c>
    </row>
    <row r="103" ht="12.75">
      <c r="B103">
        <f>+B99/B102</f>
        <v>103.85608002482415</v>
      </c>
    </row>
    <row r="104" ht="12.75">
      <c r="B104">
        <f>+B99/B101</f>
        <v>104.34051755797184</v>
      </c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Jeannette Escobar</cp:lastModifiedBy>
  <cp:lastPrinted>2019-04-12T13:24:26Z</cp:lastPrinted>
  <dcterms:created xsi:type="dcterms:W3CDTF">2000-08-28T16:15:11Z</dcterms:created>
  <dcterms:modified xsi:type="dcterms:W3CDTF">2019-04-12T15:06:00Z</dcterms:modified>
  <cp:category/>
  <cp:version/>
  <cp:contentType/>
  <cp:contentStatus/>
</cp:coreProperties>
</file>