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activeTab="0"/>
  </bookViews>
  <sheets>
    <sheet name="Hoja1" sheetId="1" r:id="rId1"/>
  </sheets>
  <definedNames>
    <definedName name="_xlnm.Print_Area" localSheetId="0">'Hoja1'!$A$1:$O$75</definedName>
  </definedNames>
  <calcPr fullCalcOnLoad="1"/>
</workbook>
</file>

<file path=xl/sharedStrings.xml><?xml version="1.0" encoding="utf-8"?>
<sst xmlns="http://schemas.openxmlformats.org/spreadsheetml/2006/main" count="98" uniqueCount="78">
  <si>
    <t>Quiñenco S.A.</t>
  </si>
  <si>
    <t>By Sector</t>
  </si>
  <si>
    <t>cash</t>
  </si>
  <si>
    <t>Financial</t>
  </si>
  <si>
    <t>Food &amp; Beverage</t>
  </si>
  <si>
    <t>CCU</t>
  </si>
  <si>
    <t>Other assets</t>
  </si>
  <si>
    <t>less debt</t>
  </si>
  <si>
    <t>NAV</t>
  </si>
  <si>
    <t>Descuento NAV</t>
  </si>
  <si>
    <t>Banco de Chile</t>
  </si>
  <si>
    <t>SM Chile A</t>
  </si>
  <si>
    <t>SM Chile B</t>
  </si>
  <si>
    <t>SM Chile D</t>
  </si>
  <si>
    <t>SM Chile E</t>
  </si>
  <si>
    <t>Quiñenco shares</t>
  </si>
  <si>
    <t>Other Corporate Assets</t>
  </si>
  <si>
    <t>Total shares o/s</t>
  </si>
  <si>
    <t>Bank Debt</t>
  </si>
  <si>
    <t>Gross Assets</t>
  </si>
  <si>
    <t>Net Assets</t>
  </si>
  <si>
    <t>Detail Banco de Chile</t>
  </si>
  <si>
    <t>Ownership %</t>
  </si>
  <si>
    <t xml:space="preserve">SM Chile </t>
  </si>
  <si>
    <t>% Ownership</t>
  </si>
  <si>
    <t>Total SM Chile</t>
  </si>
  <si>
    <t>n.a.</t>
  </si>
  <si>
    <t>see detail</t>
  </si>
  <si>
    <t>MCh$</t>
  </si>
  <si>
    <t>Book Value</t>
  </si>
  <si>
    <t>Total</t>
  </si>
  <si>
    <t xml:space="preserve">Sum </t>
  </si>
  <si>
    <t>Financial Sector:</t>
  </si>
  <si>
    <t>Food &amp; Beverage:</t>
  </si>
  <si>
    <t>Manufacturing:</t>
  </si>
  <si>
    <t>Est MV of Investment (US$)</t>
  </si>
  <si>
    <t xml:space="preserve">Shares o/s </t>
  </si>
  <si>
    <t>Market cap (US$)</t>
  </si>
  <si>
    <t xml:space="preserve">Price/share (Ch$) </t>
  </si>
  <si>
    <t>Manufacturing</t>
  </si>
  <si>
    <t>Assets</t>
  </si>
  <si>
    <t># of shares o/s</t>
  </si>
  <si>
    <t>Value NAV</t>
  </si>
  <si>
    <t>Ex rt</t>
  </si>
  <si>
    <t>Value NAV per share Ch$</t>
  </si>
  <si>
    <t xml:space="preserve">NAV Estimation </t>
  </si>
  <si>
    <t>Cash and Equivalents</t>
  </si>
  <si>
    <t>Total corporate level debt</t>
  </si>
  <si>
    <t>SM Chile</t>
  </si>
  <si>
    <t>Total Shares owned by LQIF</t>
  </si>
  <si>
    <t>Quiñenco</t>
  </si>
  <si>
    <t>Citigroup</t>
  </si>
  <si>
    <t>Coporate level debt (interno consolidado)</t>
  </si>
  <si>
    <t>Price per Share (Ch$)</t>
  </si>
  <si>
    <t>TOTAL</t>
  </si>
  <si>
    <t>NAV per share Ch$</t>
  </si>
  <si>
    <t>Date:</t>
  </si>
  <si>
    <t xml:space="preserve">Debt Corporate Level </t>
  </si>
  <si>
    <t>LQIF shares</t>
  </si>
  <si>
    <t>Transport</t>
  </si>
  <si>
    <t>Vapores</t>
  </si>
  <si>
    <t>Energy</t>
  </si>
  <si>
    <t>Enex</t>
  </si>
  <si>
    <t>Energy:</t>
  </si>
  <si>
    <t>Plus: IRSA (50%)</t>
  </si>
  <si>
    <t xml:space="preserve">            50.0% of LQIF's debt</t>
  </si>
  <si>
    <t>Port &amp; Shipping Services</t>
  </si>
  <si>
    <t>Invexans</t>
  </si>
  <si>
    <t>SM SAAM</t>
  </si>
  <si>
    <t>Observed USD ex. Rt.</t>
  </si>
  <si>
    <t>Company Market Cap in USD</t>
  </si>
  <si>
    <t>Value of Investment (USD)</t>
  </si>
  <si>
    <t>MUSD</t>
  </si>
  <si>
    <t>Techpack</t>
  </si>
  <si>
    <t>Book Value*</t>
  </si>
  <si>
    <t xml:space="preserve">* Note: Net of account receivable from Inversiones Río Bravo (fully owned subsidiary). </t>
  </si>
  <si>
    <t>BV as of June 30, 2018 MV as of June 30, 2018</t>
  </si>
  <si>
    <t>as of June 30, 2018</t>
  </si>
</sst>
</file>

<file path=xl/styles.xml><?xml version="1.0" encoding="utf-8"?>
<styleSheet xmlns="http://schemas.openxmlformats.org/spreadsheetml/2006/main">
  <numFmts count="6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,##0;\(#,##0\)"/>
    <numFmt numFmtId="195" formatCode="#,##0.00;\(#,##0.00\)"/>
    <numFmt numFmtId="196" formatCode="#,##0.0;\(#,##0.0\)"/>
    <numFmt numFmtId="197" formatCode="0.0"/>
    <numFmt numFmtId="198" formatCode="0.000000000000"/>
    <numFmt numFmtId="199" formatCode="#,##0.000;\(#,##0.000\)"/>
    <numFmt numFmtId="200" formatCode="&quot;$&quot;\ #,##0.0"/>
    <numFmt numFmtId="201" formatCode="#,##0.0"/>
    <numFmt numFmtId="202" formatCode="&quot;$&quot;\ #,##0"/>
    <numFmt numFmtId="203" formatCode="0.00000"/>
    <numFmt numFmtId="204" formatCode="0.0000"/>
    <numFmt numFmtId="205" formatCode="&quot;$&quot;\ #,##0.00"/>
    <numFmt numFmtId="206" formatCode="0.00000000"/>
    <numFmt numFmtId="207" formatCode="0.0000000"/>
    <numFmt numFmtId="208" formatCode="0.000000"/>
    <numFmt numFmtId="209" formatCode="0.000"/>
    <numFmt numFmtId="210" formatCode="0.0%"/>
    <numFmt numFmtId="211" formatCode="#,##0.0_);\(#,##0.0\)"/>
    <numFmt numFmtId="212" formatCode="0.000%"/>
    <numFmt numFmtId="213" formatCode="0.0000%"/>
    <numFmt numFmtId="214" formatCode="[$-340A]dddd\,\ dd&quot; de &quot;mmmm&quot; de &quot;yyyy"/>
    <numFmt numFmtId="215" formatCode="_([$USD]\ * #,##0_);_([$USD]\ * \(#,##0\);_([$USD]\ * &quot;-&quot;??_);_(@_)"/>
    <numFmt numFmtId="216" formatCode="[$USD]\ #,##0;[Red][$USD]\ #,##0"/>
  </numFmts>
  <fonts count="49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22">
    <xf numFmtId="0" fontId="0" fillId="0" borderId="0" xfId="0" applyAlignment="1">
      <alignment/>
    </xf>
    <xf numFmtId="194" fontId="0" fillId="0" borderId="0" xfId="0" applyNumberFormat="1" applyAlignment="1">
      <alignment/>
    </xf>
    <xf numFmtId="194" fontId="1" fillId="0" borderId="0" xfId="0" applyNumberFormat="1" applyFont="1" applyAlignment="1">
      <alignment/>
    </xf>
    <xf numFmtId="194" fontId="0" fillId="0" borderId="0" xfId="0" applyNumberFormat="1" applyFill="1" applyAlignment="1">
      <alignment/>
    </xf>
    <xf numFmtId="195" fontId="0" fillId="0" borderId="0" xfId="0" applyNumberFormat="1" applyAlignment="1">
      <alignment/>
    </xf>
    <xf numFmtId="196" fontId="0" fillId="0" borderId="0" xfId="0" applyNumberFormat="1" applyAlignment="1">
      <alignment/>
    </xf>
    <xf numFmtId="197" fontId="0" fillId="0" borderId="0" xfId="0" applyNumberFormat="1" applyAlignment="1">
      <alignment/>
    </xf>
    <xf numFmtId="198" fontId="0" fillId="0" borderId="0" xfId="0" applyNumberFormat="1" applyAlignment="1">
      <alignment/>
    </xf>
    <xf numFmtId="9" fontId="0" fillId="0" borderId="0" xfId="0" applyNumberFormat="1" applyAlignment="1">
      <alignment/>
    </xf>
    <xf numFmtId="194" fontId="0" fillId="0" borderId="10" xfId="0" applyNumberFormat="1" applyBorder="1" applyAlignment="1">
      <alignment/>
    </xf>
    <xf numFmtId="194" fontId="0" fillId="0" borderId="11" xfId="0" applyNumberFormat="1" applyBorder="1" applyAlignment="1">
      <alignment/>
    </xf>
    <xf numFmtId="196" fontId="0" fillId="0" borderId="12" xfId="0" applyNumberFormat="1" applyBorder="1" applyAlignment="1">
      <alignment/>
    </xf>
    <xf numFmtId="194" fontId="0" fillId="0" borderId="0" xfId="0" applyNumberFormat="1" applyBorder="1" applyAlignment="1">
      <alignment/>
    </xf>
    <xf numFmtId="194" fontId="0" fillId="0" borderId="13" xfId="0" applyNumberFormat="1" applyBorder="1" applyAlignment="1">
      <alignment/>
    </xf>
    <xf numFmtId="196" fontId="0" fillId="0" borderId="14" xfId="0" applyNumberFormat="1" applyBorder="1" applyAlignment="1">
      <alignment/>
    </xf>
    <xf numFmtId="194" fontId="0" fillId="0" borderId="15" xfId="0" applyNumberFormat="1" applyBorder="1" applyAlignment="1">
      <alignment/>
    </xf>
    <xf numFmtId="10" fontId="0" fillId="0" borderId="16" xfId="55" applyNumberFormat="1" applyFont="1" applyBorder="1" applyAlignment="1">
      <alignment/>
    </xf>
    <xf numFmtId="194" fontId="0" fillId="0" borderId="17" xfId="0" applyNumberFormat="1" applyBorder="1" applyAlignment="1">
      <alignment/>
    </xf>
    <xf numFmtId="196" fontId="0" fillId="0" borderId="18" xfId="0" applyNumberFormat="1" applyBorder="1" applyAlignment="1">
      <alignment/>
    </xf>
    <xf numFmtId="10" fontId="0" fillId="33" borderId="17" xfId="55" applyNumberFormat="1" applyFont="1" applyFill="1" applyBorder="1" applyAlignment="1">
      <alignment/>
    </xf>
    <xf numFmtId="199" fontId="3" fillId="0" borderId="0" xfId="0" applyNumberFormat="1" applyFont="1" applyAlignment="1">
      <alignment/>
    </xf>
    <xf numFmtId="194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9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94" fontId="0" fillId="0" borderId="20" xfId="0" applyNumberFormat="1" applyBorder="1" applyAlignment="1">
      <alignment/>
    </xf>
    <xf numFmtId="10" fontId="0" fillId="0" borderId="20" xfId="0" applyNumberFormat="1" applyBorder="1" applyAlignment="1">
      <alignment/>
    </xf>
    <xf numFmtId="194" fontId="6" fillId="0" borderId="0" xfId="0" applyNumberFormat="1" applyFont="1" applyAlignment="1">
      <alignment/>
    </xf>
    <xf numFmtId="194" fontId="0" fillId="0" borderId="0" xfId="0" applyNumberFormat="1" applyFont="1" applyAlignment="1">
      <alignment horizontal="center"/>
    </xf>
    <xf numFmtId="194" fontId="0" fillId="0" borderId="0" xfId="0" applyNumberFormat="1" applyAlignment="1">
      <alignment horizontal="right"/>
    </xf>
    <xf numFmtId="194" fontId="1" fillId="0" borderId="0" xfId="0" applyNumberFormat="1" applyFont="1" applyBorder="1" applyAlignment="1">
      <alignment/>
    </xf>
    <xf numFmtId="194" fontId="0" fillId="0" borderId="20" xfId="0" applyNumberFormat="1" applyBorder="1" applyAlignment="1">
      <alignment horizontal="right"/>
    </xf>
    <xf numFmtId="203" fontId="0" fillId="0" borderId="0" xfId="0" applyNumberFormat="1" applyAlignment="1">
      <alignment/>
    </xf>
    <xf numFmtId="1" fontId="0" fillId="0" borderId="0" xfId="0" applyNumberFormat="1" applyAlignment="1">
      <alignment/>
    </xf>
    <xf numFmtId="197" fontId="7" fillId="0" borderId="0" xfId="0" applyNumberFormat="1" applyFont="1" applyAlignment="1">
      <alignment/>
    </xf>
    <xf numFmtId="194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201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94" fontId="6" fillId="0" borderId="21" xfId="0" applyNumberFormat="1" applyFont="1" applyBorder="1" applyAlignment="1">
      <alignment/>
    </xf>
    <xf numFmtId="196" fontId="6" fillId="0" borderId="22" xfId="0" applyNumberFormat="1" applyFont="1" applyBorder="1" applyAlignment="1">
      <alignment/>
    </xf>
    <xf numFmtId="194" fontId="6" fillId="0" borderId="0" xfId="0" applyNumberFormat="1" applyFont="1" applyBorder="1" applyAlignment="1">
      <alignment/>
    </xf>
    <xf numFmtId="196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94" fontId="8" fillId="0" borderId="0" xfId="0" applyNumberFormat="1" applyFont="1" applyAlignment="1">
      <alignment/>
    </xf>
    <xf numFmtId="0" fontId="0" fillId="0" borderId="23" xfId="0" applyBorder="1" applyAlignment="1">
      <alignment/>
    </xf>
    <xf numFmtId="10" fontId="0" fillId="0" borderId="0" xfId="55" applyNumberFormat="1" applyFont="1" applyBorder="1" applyAlignment="1">
      <alignment/>
    </xf>
    <xf numFmtId="195" fontId="0" fillId="0" borderId="0" xfId="0" applyNumberFormat="1" applyBorder="1" applyAlignment="1">
      <alignment/>
    </xf>
    <xf numFmtId="196" fontId="0" fillId="0" borderId="14" xfId="0" applyNumberFormat="1" applyFill="1" applyBorder="1" applyAlignment="1">
      <alignment/>
    </xf>
    <xf numFmtId="3" fontId="0" fillId="0" borderId="0" xfId="55" applyNumberFormat="1" applyFont="1" applyBorder="1" applyAlignment="1">
      <alignment/>
    </xf>
    <xf numFmtId="202" fontId="0" fillId="0" borderId="0" xfId="55" applyNumberFormat="1" applyFont="1" applyBorder="1" applyAlignment="1">
      <alignment/>
    </xf>
    <xf numFmtId="3" fontId="0" fillId="0" borderId="0" xfId="55" applyNumberFormat="1" applyFont="1" applyFill="1" applyBorder="1" applyAlignment="1">
      <alignment/>
    </xf>
    <xf numFmtId="3" fontId="0" fillId="0" borderId="0" xfId="55" applyNumberFormat="1" applyFont="1" applyFill="1" applyBorder="1" applyAlignment="1">
      <alignment/>
    </xf>
    <xf numFmtId="202" fontId="0" fillId="0" borderId="0" xfId="55" applyNumberFormat="1" applyFont="1" applyFill="1" applyBorder="1" applyAlignment="1">
      <alignment/>
    </xf>
    <xf numFmtId="10" fontId="0" fillId="0" borderId="0" xfId="55" applyNumberFormat="1" applyFont="1" applyFill="1" applyBorder="1" applyAlignment="1">
      <alignment/>
    </xf>
    <xf numFmtId="202" fontId="0" fillId="0" borderId="0" xfId="55" applyNumberFormat="1" applyFont="1" applyBorder="1" applyAlignment="1">
      <alignment/>
    </xf>
    <xf numFmtId="195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0" xfId="55" applyNumberFormat="1" applyFont="1" applyBorder="1" applyAlignment="1">
      <alignment horizontal="right"/>
    </xf>
    <xf numFmtId="195" fontId="0" fillId="0" borderId="0" xfId="0" applyNumberFormat="1" applyFill="1" applyBorder="1" applyAlignment="1">
      <alignment horizontal="right"/>
    </xf>
    <xf numFmtId="202" fontId="0" fillId="0" borderId="0" xfId="55" applyNumberFormat="1" applyFont="1" applyFill="1" applyBorder="1" applyAlignment="1">
      <alignment/>
    </xf>
    <xf numFmtId="194" fontId="0" fillId="0" borderId="24" xfId="0" applyNumberFormat="1" applyBorder="1" applyAlignment="1">
      <alignment/>
    </xf>
    <xf numFmtId="196" fontId="0" fillId="0" borderId="22" xfId="0" applyNumberFormat="1" applyBorder="1" applyAlignment="1">
      <alignment/>
    </xf>
    <xf numFmtId="194" fontId="4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194" fontId="4" fillId="0" borderId="13" xfId="0" applyNumberFormat="1" applyFont="1" applyBorder="1" applyAlignment="1">
      <alignment/>
    </xf>
    <xf numFmtId="194" fontId="5" fillId="0" borderId="13" xfId="0" applyNumberFormat="1" applyFont="1" applyBorder="1" applyAlignment="1">
      <alignment horizontal="right"/>
    </xf>
    <xf numFmtId="194" fontId="4" fillId="0" borderId="13" xfId="0" applyNumberFormat="1" applyFont="1" applyBorder="1" applyAlignment="1">
      <alignment horizontal="left"/>
    </xf>
    <xf numFmtId="194" fontId="5" fillId="0" borderId="13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194" fontId="2" fillId="0" borderId="13" xfId="0" applyNumberFormat="1" applyFont="1" applyBorder="1" applyAlignment="1">
      <alignment/>
    </xf>
    <xf numFmtId="194" fontId="0" fillId="0" borderId="21" xfId="0" applyNumberFormat="1" applyBorder="1" applyAlignment="1">
      <alignment/>
    </xf>
    <xf numFmtId="194" fontId="6" fillId="0" borderId="11" xfId="0" applyNumberFormat="1" applyFont="1" applyBorder="1" applyAlignment="1">
      <alignment/>
    </xf>
    <xf numFmtId="194" fontId="6" fillId="0" borderId="13" xfId="0" applyNumberFormat="1" applyFont="1" applyBorder="1" applyAlignment="1">
      <alignment/>
    </xf>
    <xf numFmtId="194" fontId="2" fillId="0" borderId="25" xfId="0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3" fontId="0" fillId="0" borderId="20" xfId="55" applyNumberFormat="1" applyFont="1" applyFill="1" applyBorder="1" applyAlignment="1">
      <alignment/>
    </xf>
    <xf numFmtId="3" fontId="0" fillId="0" borderId="20" xfId="55" applyNumberFormat="1" applyFont="1" applyBorder="1" applyAlignment="1">
      <alignment/>
    </xf>
    <xf numFmtId="195" fontId="0" fillId="0" borderId="20" xfId="0" applyNumberFormat="1" applyBorder="1" applyAlignment="1">
      <alignment/>
    </xf>
    <xf numFmtId="196" fontId="0" fillId="0" borderId="26" xfId="0" applyNumberFormat="1" applyBorder="1" applyAlignment="1">
      <alignment/>
    </xf>
    <xf numFmtId="194" fontId="0" fillId="0" borderId="23" xfId="0" applyNumberFormat="1" applyFill="1" applyBorder="1" applyAlignment="1">
      <alignment/>
    </xf>
    <xf numFmtId="194" fontId="0" fillId="0" borderId="23" xfId="0" applyNumberFormat="1" applyBorder="1" applyAlignment="1">
      <alignment/>
    </xf>
    <xf numFmtId="194" fontId="0" fillId="0" borderId="27" xfId="0" applyNumberFormat="1" applyFill="1" applyBorder="1" applyAlignment="1">
      <alignment/>
    </xf>
    <xf numFmtId="194" fontId="6" fillId="0" borderId="15" xfId="0" applyNumberFormat="1" applyFont="1" applyBorder="1" applyAlignment="1">
      <alignment horizontal="center"/>
    </xf>
    <xf numFmtId="194" fontId="5" fillId="0" borderId="17" xfId="0" applyNumberFormat="1" applyFont="1" applyFill="1" applyBorder="1" applyAlignment="1">
      <alignment horizontal="left"/>
    </xf>
    <xf numFmtId="194" fontId="9" fillId="0" borderId="19" xfId="0" applyNumberFormat="1" applyFont="1" applyBorder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10" fontId="0" fillId="0" borderId="0" xfId="0" applyNumberFormat="1" applyFill="1" applyAlignment="1">
      <alignment/>
    </xf>
    <xf numFmtId="194" fontId="4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194" fontId="4" fillId="0" borderId="13" xfId="0" applyNumberFormat="1" applyFont="1" applyFill="1" applyBorder="1" applyAlignment="1">
      <alignment horizontal="left"/>
    </xf>
    <xf numFmtId="3" fontId="0" fillId="0" borderId="0" xfId="55" applyNumberFormat="1" applyFont="1" applyBorder="1" applyAlignment="1">
      <alignment/>
    </xf>
    <xf numFmtId="194" fontId="0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3" fontId="0" fillId="0" borderId="16" xfId="55" applyNumberFormat="1" applyFont="1" applyFill="1" applyBorder="1" applyAlignment="1">
      <alignment/>
    </xf>
    <xf numFmtId="194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194" fontId="10" fillId="34" borderId="0" xfId="0" applyNumberFormat="1" applyFont="1" applyFill="1" applyBorder="1" applyAlignment="1">
      <alignment horizontal="center"/>
    </xf>
    <xf numFmtId="194" fontId="10" fillId="34" borderId="23" xfId="0" applyNumberFormat="1" applyFont="1" applyFill="1" applyBorder="1" applyAlignment="1">
      <alignment horizontal="right"/>
    </xf>
    <xf numFmtId="194" fontId="10" fillId="34" borderId="14" xfId="0" applyNumberFormat="1" applyFont="1" applyFill="1" applyBorder="1" applyAlignment="1">
      <alignment horizontal="right"/>
    </xf>
    <xf numFmtId="197" fontId="0" fillId="0" borderId="0" xfId="0" applyNumberFormat="1" applyAlignment="1">
      <alignment horizontal="right"/>
    </xf>
    <xf numFmtId="216" fontId="0" fillId="0" borderId="0" xfId="55" applyNumberFormat="1" applyFont="1" applyFill="1" applyBorder="1" applyAlignment="1">
      <alignment horizontal="right" readingOrder="1"/>
    </xf>
    <xf numFmtId="216" fontId="0" fillId="0" borderId="20" xfId="55" applyNumberFormat="1" applyFont="1" applyFill="1" applyBorder="1" applyAlignment="1">
      <alignment horizontal="right" readingOrder="1"/>
    </xf>
    <xf numFmtId="216" fontId="0" fillId="0" borderId="19" xfId="55" applyNumberFormat="1" applyFont="1" applyFill="1" applyBorder="1" applyAlignment="1">
      <alignment horizontal="right" readingOrder="1"/>
    </xf>
    <xf numFmtId="195" fontId="0" fillId="0" borderId="0" xfId="0" applyNumberFormat="1" applyFill="1" applyBorder="1" applyAlignment="1">
      <alignment/>
    </xf>
    <xf numFmtId="200" fontId="0" fillId="0" borderId="0" xfId="55" applyNumberFormat="1" applyFont="1" applyFill="1" applyBorder="1" applyAlignment="1">
      <alignment horizontal="right"/>
    </xf>
    <xf numFmtId="195" fontId="0" fillId="0" borderId="0" xfId="0" applyNumberFormat="1" applyFont="1" applyFill="1" applyBorder="1" applyAlignment="1">
      <alignment/>
    </xf>
    <xf numFmtId="195" fontId="0" fillId="0" borderId="16" xfId="0" applyNumberFormat="1" applyFill="1" applyBorder="1" applyAlignment="1">
      <alignment/>
    </xf>
    <xf numFmtId="15" fontId="0" fillId="0" borderId="28" xfId="0" applyNumberFormat="1" applyFont="1" applyFill="1" applyBorder="1" applyAlignment="1">
      <alignment horizontal="right"/>
    </xf>
    <xf numFmtId="194" fontId="0" fillId="0" borderId="23" xfId="0" applyNumberFormat="1" applyFont="1" applyFill="1" applyBorder="1" applyAlignment="1">
      <alignment/>
    </xf>
    <xf numFmtId="194" fontId="6" fillId="0" borderId="0" xfId="0" applyNumberFormat="1" applyFont="1" applyFill="1" applyAlignment="1">
      <alignment/>
    </xf>
    <xf numFmtId="204" fontId="0" fillId="0" borderId="0" xfId="0" applyNumberFormat="1" applyAlignment="1">
      <alignment/>
    </xf>
    <xf numFmtId="195" fontId="0" fillId="0" borderId="0" xfId="0" applyNumberFormat="1" applyFont="1" applyFill="1" applyBorder="1" applyAlignment="1">
      <alignment horizontal="right"/>
    </xf>
    <xf numFmtId="216" fontId="0" fillId="0" borderId="0" xfId="55" applyNumberFormat="1" applyFont="1" applyFill="1" applyBorder="1" applyAlignment="1">
      <alignment horizontal="right" readingOrder="1"/>
    </xf>
    <xf numFmtId="3" fontId="0" fillId="0" borderId="23" xfId="0" applyNumberFormat="1" applyFill="1" applyBorder="1" applyAlignment="1">
      <alignment/>
    </xf>
    <xf numFmtId="194" fontId="6" fillId="34" borderId="29" xfId="0" applyNumberFormat="1" applyFont="1" applyFill="1" applyBorder="1" applyAlignment="1">
      <alignment horizontal="center"/>
    </xf>
    <xf numFmtId="194" fontId="6" fillId="34" borderId="12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tabSelected="1" zoomScale="110" zoomScaleNormal="110"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11.421875" defaultRowHeight="12.75"/>
  <cols>
    <col min="1" max="1" width="36.421875" style="0" customWidth="1"/>
    <col min="2" max="2" width="25.57421875" style="0" customWidth="1"/>
    <col min="3" max="3" width="28.28125" style="0" customWidth="1"/>
    <col min="4" max="4" width="19.28125" style="0" customWidth="1"/>
    <col min="5" max="5" width="18.140625" style="0" customWidth="1"/>
    <col min="6" max="6" width="26.00390625" style="0" customWidth="1"/>
    <col min="7" max="7" width="24.28125" style="0" customWidth="1"/>
    <col min="8" max="8" width="18.421875" style="0" customWidth="1"/>
    <col min="9" max="9" width="16.421875" style="0" bestFit="1" customWidth="1"/>
    <col min="11" max="11" width="5.00390625" style="0" customWidth="1"/>
    <col min="12" max="12" width="4.8515625" style="0" customWidth="1"/>
    <col min="13" max="13" width="16.7109375" style="0" customWidth="1"/>
    <col min="14" max="14" width="16.57421875" style="0" bestFit="1" customWidth="1"/>
    <col min="16" max="16" width="6.140625" style="0" customWidth="1"/>
    <col min="17" max="17" width="4.7109375" style="0" customWidth="1"/>
    <col min="19" max="19" width="15.28125" style="0" customWidth="1"/>
  </cols>
  <sheetData>
    <row r="1" spans="1:12" ht="15.75">
      <c r="A1" s="4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4" t="s">
        <v>45</v>
      </c>
      <c r="B2" s="1"/>
      <c r="C2" s="98"/>
      <c r="D2" s="1"/>
      <c r="E2" s="1"/>
      <c r="F2" s="1"/>
      <c r="G2" s="1"/>
      <c r="H2" s="3"/>
      <c r="I2" s="1"/>
      <c r="J2" s="1"/>
      <c r="K2" s="1"/>
      <c r="L2" s="1"/>
    </row>
    <row r="3" spans="1:15" ht="12.75">
      <c r="A3" s="24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91" t="s">
        <v>76</v>
      </c>
      <c r="B4" s="1"/>
      <c r="C4" s="1"/>
      <c r="F4" s="1"/>
      <c r="G4" s="1"/>
      <c r="J4" s="1"/>
      <c r="K4" s="1"/>
      <c r="L4" s="1"/>
      <c r="M4" t="s">
        <v>8</v>
      </c>
      <c r="N4" s="6"/>
      <c r="O4" s="8"/>
    </row>
    <row r="5" spans="1:13" ht="13.5" thickBot="1">
      <c r="A5" s="1" t="s">
        <v>69</v>
      </c>
      <c r="B5" s="4">
        <v>651.21</v>
      </c>
      <c r="C5" s="1"/>
      <c r="D5" s="1"/>
      <c r="E5" s="1"/>
      <c r="F5" s="1"/>
      <c r="G5" s="1"/>
      <c r="J5" s="1"/>
      <c r="K5" s="1"/>
      <c r="L5" s="1"/>
      <c r="M5" s="27" t="str">
        <f>+G9</f>
        <v>as of June 30, 2018</v>
      </c>
    </row>
    <row r="6" spans="1:13" ht="12.75">
      <c r="A6" s="1" t="s">
        <v>56</v>
      </c>
      <c r="B6" s="113">
        <f>DATE(18,6,30)</f>
        <v>6756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5"/>
      <c r="E7" s="1"/>
      <c r="F7" s="1"/>
      <c r="G7" s="1"/>
      <c r="H7" s="30"/>
      <c r="K7" s="1"/>
      <c r="L7" s="1"/>
    </row>
    <row r="8" spans="1:15" ht="15">
      <c r="A8" s="67" t="s">
        <v>40</v>
      </c>
      <c r="B8" s="100" t="s">
        <v>17</v>
      </c>
      <c r="C8" s="100" t="s">
        <v>70</v>
      </c>
      <c r="D8" s="101"/>
      <c r="E8" s="101"/>
      <c r="F8" s="100" t="s">
        <v>71</v>
      </c>
      <c r="G8" s="100" t="s">
        <v>53</v>
      </c>
      <c r="H8" s="120" t="s">
        <v>54</v>
      </c>
      <c r="I8" s="121"/>
      <c r="K8" s="1"/>
      <c r="L8" s="1"/>
      <c r="M8" t="s">
        <v>1</v>
      </c>
      <c r="N8" s="105"/>
      <c r="O8" s="7"/>
    </row>
    <row r="9" spans="1:12" ht="12.75">
      <c r="A9" s="68"/>
      <c r="B9" s="102" t="s">
        <v>77</v>
      </c>
      <c r="C9" s="102" t="str">
        <f>+B9</f>
        <v>as of June 30, 2018</v>
      </c>
      <c r="D9" s="102" t="s">
        <v>15</v>
      </c>
      <c r="E9" s="102" t="s">
        <v>22</v>
      </c>
      <c r="F9" s="102" t="str">
        <f>+C9</f>
        <v>as of June 30, 2018</v>
      </c>
      <c r="G9" s="102" t="str">
        <f>+F9</f>
        <v>as of June 30, 2018</v>
      </c>
      <c r="H9" s="103" t="s">
        <v>28</v>
      </c>
      <c r="I9" s="104" t="s">
        <v>72</v>
      </c>
      <c r="K9" s="1"/>
      <c r="L9" s="1"/>
    </row>
    <row r="10" spans="1:20" ht="15">
      <c r="A10" s="93" t="s">
        <v>46</v>
      </c>
      <c r="B10" s="49"/>
      <c r="C10" s="49"/>
      <c r="D10" s="49"/>
      <c r="E10" s="49"/>
      <c r="F10" s="49"/>
      <c r="G10" s="50"/>
      <c r="H10" s="84">
        <v>380789.997</v>
      </c>
      <c r="I10" s="51">
        <f>(+H10/B$5)</f>
        <v>584.7422444372783</v>
      </c>
      <c r="K10" s="6"/>
      <c r="L10" s="3"/>
      <c r="M10" t="s">
        <v>2</v>
      </c>
      <c r="N10" s="6">
        <f>+I10</f>
        <v>584.7422444372783</v>
      </c>
      <c r="O10" s="8">
        <f>+N10/N21</f>
        <v>0.07111648958371651</v>
      </c>
      <c r="T10" s="8"/>
    </row>
    <row r="11" spans="1:20" ht="15">
      <c r="A11" s="69" t="s">
        <v>32</v>
      </c>
      <c r="B11" s="49"/>
      <c r="C11" s="49"/>
      <c r="D11" s="49"/>
      <c r="E11" s="49"/>
      <c r="F11" s="49"/>
      <c r="G11" s="50"/>
      <c r="H11" s="84"/>
      <c r="I11" s="14"/>
      <c r="K11" s="6"/>
      <c r="L11" s="1"/>
      <c r="M11" s="94" t="s">
        <v>59</v>
      </c>
      <c r="N11" s="6">
        <f>+I22</f>
        <v>590.7160086958737</v>
      </c>
      <c r="O11" s="8">
        <f>+N11/$N$21</f>
        <v>0.07184302020077636</v>
      </c>
      <c r="T11" s="22"/>
    </row>
    <row r="12" spans="1:20" ht="14.25">
      <c r="A12" s="70" t="s">
        <v>10</v>
      </c>
      <c r="B12" s="96">
        <v>99444132192</v>
      </c>
      <c r="C12" s="106">
        <f>+C50</f>
        <v>15374510878.350393</v>
      </c>
      <c r="D12" s="52">
        <f>+C71+108411805</f>
        <v>13607582720.5</v>
      </c>
      <c r="E12" s="49">
        <f>+D12/B12</f>
        <v>0.13683645701917738</v>
      </c>
      <c r="F12" s="106">
        <f>+C12*E12</f>
        <v>2103793596.9962685</v>
      </c>
      <c r="G12" s="109">
        <f>+G50</f>
        <v>100.68</v>
      </c>
      <c r="H12" s="85">
        <f>+G12*D12/1000000</f>
        <v>1370011.4282999402</v>
      </c>
      <c r="I12" s="14">
        <f>(+H12/B$5)</f>
        <v>2103.7935969962687</v>
      </c>
      <c r="K12" s="6"/>
      <c r="L12" s="1"/>
      <c r="M12" s="94" t="s">
        <v>66</v>
      </c>
      <c r="N12" s="5">
        <f>+I24</f>
        <v>465.9395140963744</v>
      </c>
      <c r="O12" s="8">
        <f>+N12/$N$21</f>
        <v>0.056667673519577626</v>
      </c>
      <c r="T12" s="22"/>
    </row>
    <row r="13" spans="1:20" ht="14.25">
      <c r="A13" s="70"/>
      <c r="B13" s="52"/>
      <c r="C13" s="53"/>
      <c r="D13" s="52"/>
      <c r="E13" s="49"/>
      <c r="F13" s="53"/>
      <c r="G13" s="109"/>
      <c r="H13" s="85"/>
      <c r="I13" s="14"/>
      <c r="K13" s="6"/>
      <c r="L13" s="1"/>
      <c r="M13" s="94"/>
      <c r="N13" s="5"/>
      <c r="O13" s="8"/>
      <c r="T13" s="22"/>
    </row>
    <row r="14" spans="1:22" ht="14.25">
      <c r="A14" s="70" t="s">
        <v>23</v>
      </c>
      <c r="B14" s="52">
        <f>+B56</f>
        <v>12138504795</v>
      </c>
      <c r="C14" s="106">
        <f>+C56</f>
        <v>5810281302.729165</v>
      </c>
      <c r="D14" s="52">
        <f>+C75</f>
        <v>3534624218</v>
      </c>
      <c r="E14" s="49">
        <f>+D14/B14</f>
        <v>0.29119107152768564</v>
      </c>
      <c r="F14" s="106">
        <f>+F62</f>
        <v>1705642430.0120776</v>
      </c>
      <c r="G14" s="110" t="s">
        <v>27</v>
      </c>
      <c r="H14" s="85">
        <f>+F14*B5/1000000</f>
        <v>1110731.406848165</v>
      </c>
      <c r="I14" s="14">
        <f>(+H14/B$5)</f>
        <v>1705.6424300120773</v>
      </c>
      <c r="J14" s="6"/>
      <c r="L14" s="1"/>
      <c r="M14" t="s">
        <v>3</v>
      </c>
      <c r="N14" s="6">
        <f>+I12+I14+I13</f>
        <v>3809.436027008346</v>
      </c>
      <c r="O14" s="8">
        <f aca="true" t="shared" si="0" ref="O14:O19">+N14/$N$21</f>
        <v>0.4633045074335017</v>
      </c>
      <c r="S14" s="94"/>
      <c r="T14" s="22"/>
      <c r="V14" s="116"/>
    </row>
    <row r="15" spans="1:22" ht="15">
      <c r="A15" s="69" t="s">
        <v>33</v>
      </c>
      <c r="B15" s="52"/>
      <c r="C15" s="53"/>
      <c r="D15" s="52"/>
      <c r="E15" s="49"/>
      <c r="F15" s="53"/>
      <c r="G15" s="110"/>
      <c r="H15" s="85"/>
      <c r="I15" s="14"/>
      <c r="J15" s="6"/>
      <c r="L15" s="1"/>
      <c r="M15" t="s">
        <v>4</v>
      </c>
      <c r="N15" s="6">
        <f>+I16</f>
        <v>1391.7254494282947</v>
      </c>
      <c r="O15" s="8">
        <f t="shared" si="0"/>
        <v>0.16926197716894542</v>
      </c>
      <c r="R15" s="94"/>
      <c r="S15" s="94"/>
      <c r="T15" s="22"/>
      <c r="V15" s="116"/>
    </row>
    <row r="16" spans="1:22" ht="14.25">
      <c r="A16" s="70" t="s">
        <v>5</v>
      </c>
      <c r="B16" s="52">
        <v>369502872</v>
      </c>
      <c r="C16" s="106">
        <f>(+B16*G16)/B$5</f>
        <v>4639084982.086884</v>
      </c>
      <c r="D16" s="52">
        <f>110850858</f>
        <v>110850858</v>
      </c>
      <c r="E16" s="49">
        <f>+D16/B16</f>
        <v>0.29999999025717994</v>
      </c>
      <c r="F16" s="106">
        <f>+C16*E16</f>
        <v>1391725449.428295</v>
      </c>
      <c r="G16" s="109">
        <v>8175.9</v>
      </c>
      <c r="H16" s="85">
        <f>+G16*D16/1000000</f>
        <v>906305.5299221999</v>
      </c>
      <c r="I16" s="14">
        <f>(+H16/B$5)</f>
        <v>1391.7254494282947</v>
      </c>
      <c r="J16" s="6"/>
      <c r="L16" s="1"/>
      <c r="M16" t="s">
        <v>39</v>
      </c>
      <c r="N16" s="6">
        <f>+I19+I20</f>
        <v>439.3695625312879</v>
      </c>
      <c r="O16" s="8">
        <f t="shared" si="0"/>
        <v>0.0534362297480801</v>
      </c>
      <c r="R16" s="94"/>
      <c r="S16" s="94"/>
      <c r="T16" s="22"/>
      <c r="V16" s="116"/>
    </row>
    <row r="17" spans="1:22" ht="15">
      <c r="A17" s="71"/>
      <c r="B17" s="52"/>
      <c r="C17" s="53"/>
      <c r="D17" s="52"/>
      <c r="E17" s="49"/>
      <c r="F17" s="53"/>
      <c r="G17" s="109"/>
      <c r="H17" s="85"/>
      <c r="I17" s="14"/>
      <c r="J17" s="6"/>
      <c r="L17" s="1"/>
      <c r="M17" t="s">
        <v>61</v>
      </c>
      <c r="N17" s="5">
        <f>+I26</f>
        <v>889.4697163741342</v>
      </c>
      <c r="O17" s="8">
        <f t="shared" si="0"/>
        <v>0.10817751654051647</v>
      </c>
      <c r="R17" s="94"/>
      <c r="S17" s="94"/>
      <c r="T17" s="22"/>
      <c r="V17" s="116"/>
    </row>
    <row r="18" spans="1:22" ht="15">
      <c r="A18" s="69" t="s">
        <v>34</v>
      </c>
      <c r="B18" s="52"/>
      <c r="C18" s="53"/>
      <c r="D18" s="52"/>
      <c r="E18" s="49"/>
      <c r="F18" s="53"/>
      <c r="G18" s="109"/>
      <c r="H18" s="85"/>
      <c r="I18" s="14"/>
      <c r="J18" s="6"/>
      <c r="L18" s="1"/>
      <c r="N18" s="6"/>
      <c r="O18" s="8">
        <f t="shared" si="0"/>
        <v>0</v>
      </c>
      <c r="T18" s="22"/>
      <c r="V18" s="116"/>
    </row>
    <row r="19" spans="1:20" ht="14.25">
      <c r="A19" s="72" t="s">
        <v>67</v>
      </c>
      <c r="B19" s="55">
        <v>22422000000</v>
      </c>
      <c r="C19" s="106">
        <f>(+B19*G19)/B$5</f>
        <v>275450315.56640714</v>
      </c>
      <c r="D19" s="55">
        <v>22126061477</v>
      </c>
      <c r="E19" s="57">
        <f>+D19/B19</f>
        <v>0.9868014216840603</v>
      </c>
      <c r="F19" s="106">
        <f>+C19*E19</f>
        <v>271814763.0042536</v>
      </c>
      <c r="G19" s="111">
        <v>8</v>
      </c>
      <c r="H19" s="85">
        <f>+G19*D19/1000000</f>
        <v>177008.491816</v>
      </c>
      <c r="I19" s="14">
        <f>(+H19/B$5)</f>
        <v>271.8147630042536</v>
      </c>
      <c r="J19" s="6"/>
      <c r="L19" s="1"/>
      <c r="M19" t="s">
        <v>6</v>
      </c>
      <c r="N19" s="36">
        <f>+I29</f>
        <v>50.91739684587152</v>
      </c>
      <c r="O19" s="8">
        <f t="shared" si="0"/>
        <v>0.006192585804885851</v>
      </c>
      <c r="T19" s="8"/>
    </row>
    <row r="20" spans="1:20" ht="14.25">
      <c r="A20" s="72" t="s">
        <v>73</v>
      </c>
      <c r="B20" s="55">
        <v>375870000</v>
      </c>
      <c r="C20" s="118" t="s">
        <v>26</v>
      </c>
      <c r="D20" s="55">
        <v>375762003</v>
      </c>
      <c r="E20" s="57">
        <f>+D20/B20</f>
        <v>0.9997126745949397</v>
      </c>
      <c r="F20" s="118" t="s">
        <v>26</v>
      </c>
      <c r="G20" s="117" t="s">
        <v>26</v>
      </c>
      <c r="H20" s="85">
        <v>109113.361</v>
      </c>
      <c r="I20" s="14">
        <f>(+H20/B$5)</f>
        <v>167.55479952703428</v>
      </c>
      <c r="J20" s="37" t="s">
        <v>74</v>
      </c>
      <c r="L20" s="1"/>
      <c r="N20" s="36"/>
      <c r="O20" s="8"/>
      <c r="T20" s="8"/>
    </row>
    <row r="21" spans="1:15" ht="15">
      <c r="A21" s="69" t="s">
        <v>59</v>
      </c>
      <c r="B21" s="52"/>
      <c r="C21" s="53"/>
      <c r="D21" s="52"/>
      <c r="E21" s="49"/>
      <c r="F21" s="53"/>
      <c r="G21" s="109"/>
      <c r="H21" s="85"/>
      <c r="I21" s="14"/>
      <c r="J21" s="6"/>
      <c r="L21" s="1"/>
      <c r="M21" t="s">
        <v>30</v>
      </c>
      <c r="N21" s="6">
        <f>SUM(N10:N19)</f>
        <v>8222.31591941746</v>
      </c>
      <c r="O21" s="8">
        <f>SUM(O10:O19)</f>
        <v>1</v>
      </c>
    </row>
    <row r="22" spans="1:15" ht="14.25">
      <c r="A22" s="72" t="s">
        <v>60</v>
      </c>
      <c r="B22" s="55">
        <v>36796876188</v>
      </c>
      <c r="C22" s="106">
        <f>(+B22*G22)/B$5</f>
        <v>1051565341.2243054</v>
      </c>
      <c r="D22" s="55">
        <v>20670616444</v>
      </c>
      <c r="E22" s="57">
        <f>+D22/B22</f>
        <v>0.5617492185584219</v>
      </c>
      <c r="F22" s="106">
        <f>+C22*E22</f>
        <v>590716008.6958737</v>
      </c>
      <c r="G22" s="111">
        <v>18.61</v>
      </c>
      <c r="H22" s="85">
        <f>+G22*D22/1000000</f>
        <v>384680.17202283995</v>
      </c>
      <c r="I22" s="14">
        <f>(+H22/B$5)</f>
        <v>590.7160086958737</v>
      </c>
      <c r="J22" s="6"/>
      <c r="L22" s="1"/>
      <c r="M22" t="s">
        <v>7</v>
      </c>
      <c r="N22" s="6">
        <f>I35</f>
        <v>-1459.0033169023816</v>
      </c>
      <c r="O22" s="8"/>
    </row>
    <row r="23" spans="1:15" ht="15">
      <c r="A23" s="95" t="s">
        <v>66</v>
      </c>
      <c r="B23" s="55"/>
      <c r="C23" s="56"/>
      <c r="D23" s="55"/>
      <c r="E23" s="57"/>
      <c r="F23" s="56"/>
      <c r="G23" s="111"/>
      <c r="H23" s="85"/>
      <c r="I23" s="14"/>
      <c r="J23" s="6"/>
      <c r="L23" s="1"/>
      <c r="N23" s="6"/>
      <c r="O23" s="8"/>
    </row>
    <row r="24" spans="1:15" ht="14.25">
      <c r="A24" s="72" t="s">
        <v>68</v>
      </c>
      <c r="B24" s="55">
        <v>9736791983</v>
      </c>
      <c r="C24" s="106">
        <f>(+B24*G24)/B$5</f>
        <v>892625238.2259178</v>
      </c>
      <c r="D24" s="55">
        <v>5082486951</v>
      </c>
      <c r="E24" s="57">
        <f>+D24/B24</f>
        <v>0.5219878333514564</v>
      </c>
      <c r="F24" s="106">
        <f>+C24*E24</f>
        <v>465939514.09637445</v>
      </c>
      <c r="G24" s="111">
        <v>59.7</v>
      </c>
      <c r="H24" s="85">
        <f>+G24*D24/1000000</f>
        <v>303424.4709747</v>
      </c>
      <c r="I24" s="14">
        <f>(+H24/B$5)</f>
        <v>465.9395140963744</v>
      </c>
      <c r="J24" s="6"/>
      <c r="L24" s="1"/>
      <c r="N24" s="6"/>
      <c r="O24" s="8"/>
    </row>
    <row r="25" spans="1:15" ht="15">
      <c r="A25" s="69" t="s">
        <v>63</v>
      </c>
      <c r="B25" s="55"/>
      <c r="C25" s="56"/>
      <c r="D25" s="55"/>
      <c r="E25" s="57"/>
      <c r="F25" s="58"/>
      <c r="G25" s="111"/>
      <c r="H25" s="85"/>
      <c r="I25" s="14"/>
      <c r="J25" s="6"/>
      <c r="L25" s="1"/>
      <c r="N25" s="6"/>
      <c r="O25" s="8"/>
    </row>
    <row r="26" spans="1:15" ht="14.25">
      <c r="A26" s="72" t="s">
        <v>62</v>
      </c>
      <c r="B26" s="62" t="s">
        <v>26</v>
      </c>
      <c r="C26" s="62" t="s">
        <v>26</v>
      </c>
      <c r="D26" s="62" t="s">
        <v>26</v>
      </c>
      <c r="E26" s="57">
        <v>1</v>
      </c>
      <c r="F26" s="62" t="s">
        <v>26</v>
      </c>
      <c r="G26" s="63" t="s">
        <v>26</v>
      </c>
      <c r="H26" s="119">
        <v>579231.574</v>
      </c>
      <c r="I26" s="14">
        <f>(+H26/B$5)</f>
        <v>889.4697163741342</v>
      </c>
      <c r="J26" s="37" t="s">
        <v>29</v>
      </c>
      <c r="L26" s="1"/>
      <c r="N26" s="6"/>
      <c r="O26" s="8"/>
    </row>
    <row r="27" spans="1:15" ht="14.25">
      <c r="A27" s="72"/>
      <c r="B27" s="55"/>
      <c r="C27" s="56"/>
      <c r="D27" s="55"/>
      <c r="E27" s="57"/>
      <c r="F27" s="58"/>
      <c r="G27" s="59"/>
      <c r="H27" s="85"/>
      <c r="I27" s="14"/>
      <c r="J27" s="6"/>
      <c r="L27" s="1"/>
      <c r="N27" s="6"/>
      <c r="O27" s="8"/>
    </row>
    <row r="28" spans="1:15" ht="15">
      <c r="A28" s="73"/>
      <c r="B28" s="60"/>
      <c r="C28" s="60"/>
      <c r="D28" s="60"/>
      <c r="E28" s="60"/>
      <c r="F28" s="60"/>
      <c r="G28" s="59"/>
      <c r="H28" s="48"/>
      <c r="I28" s="61"/>
      <c r="J28" s="6"/>
      <c r="L28" s="1"/>
      <c r="M28" t="s">
        <v>8</v>
      </c>
      <c r="N28" s="6">
        <f>+N21+N22</f>
        <v>6763.312602515079</v>
      </c>
      <c r="O28" s="8"/>
    </row>
    <row r="29" spans="1:12" ht="15">
      <c r="A29" s="69" t="s">
        <v>16</v>
      </c>
      <c r="B29" s="52"/>
      <c r="C29" s="64"/>
      <c r="D29" s="55"/>
      <c r="E29" s="52"/>
      <c r="F29" s="53"/>
      <c r="G29" s="50"/>
      <c r="H29" s="114">
        <v>33157.918</v>
      </c>
      <c r="I29" s="51">
        <f>H29/B$5</f>
        <v>50.91739684587152</v>
      </c>
      <c r="J29" s="37" t="s">
        <v>29</v>
      </c>
      <c r="L29" s="1"/>
    </row>
    <row r="30" spans="1:12" ht="12.75">
      <c r="A30" s="74"/>
      <c r="B30" s="49"/>
      <c r="C30" s="54"/>
      <c r="D30" s="52"/>
      <c r="E30" s="52"/>
      <c r="F30" s="53"/>
      <c r="G30" s="50"/>
      <c r="H30" s="84"/>
      <c r="I30" s="14"/>
      <c r="L30" s="1"/>
    </row>
    <row r="31" spans="1:14" ht="12.75">
      <c r="A31" s="78" t="s">
        <v>31</v>
      </c>
      <c r="B31" s="79"/>
      <c r="C31" s="80"/>
      <c r="D31" s="81"/>
      <c r="E31" s="79"/>
      <c r="F31" s="79"/>
      <c r="G31" s="82"/>
      <c r="H31" s="86">
        <f>SUM(H10:H30)</f>
        <v>5354454.349883844</v>
      </c>
      <c r="I31" s="83">
        <f>SUM(I10:I30)</f>
        <v>8222.31591941746</v>
      </c>
      <c r="L31" s="1"/>
      <c r="M31" s="23" t="s">
        <v>41</v>
      </c>
      <c r="N31" s="23">
        <f>+F40</f>
        <v>1662759593</v>
      </c>
    </row>
    <row r="32" spans="1:14" ht="15">
      <c r="A32" s="93" t="s">
        <v>57</v>
      </c>
      <c r="B32" s="12"/>
      <c r="C32" s="12"/>
      <c r="D32" s="12"/>
      <c r="E32" s="12"/>
      <c r="F32" s="12"/>
      <c r="G32" s="12"/>
      <c r="H32" s="84">
        <f>+B64</f>
        <v>950117.5499999999</v>
      </c>
      <c r="I32" s="51">
        <f>+H32/B5</f>
        <v>1459.0033169023816</v>
      </c>
      <c r="K32" s="1"/>
      <c r="L32" s="1"/>
      <c r="M32" s="23"/>
      <c r="N32" s="23"/>
    </row>
    <row r="33" spans="1:14" ht="13.5" thickBot="1">
      <c r="A33" s="75"/>
      <c r="B33" s="15"/>
      <c r="C33" s="15"/>
      <c r="D33" s="15"/>
      <c r="E33" s="15"/>
      <c r="F33" s="15"/>
      <c r="G33" s="15"/>
      <c r="H33" s="65"/>
      <c r="I33" s="66"/>
      <c r="K33" s="3"/>
      <c r="L33" s="1"/>
      <c r="M33" t="s">
        <v>42</v>
      </c>
      <c r="N33" s="23">
        <f>+N28*1000000</f>
        <v>6763312602.515079</v>
      </c>
    </row>
    <row r="34" spans="1:14" ht="12.75">
      <c r="A34" s="76" t="s">
        <v>19</v>
      </c>
      <c r="B34" s="9"/>
      <c r="C34" s="9"/>
      <c r="D34" s="9"/>
      <c r="E34" s="9"/>
      <c r="F34" s="9"/>
      <c r="G34" s="9"/>
      <c r="H34" s="10">
        <f>+H31</f>
        <v>5354454.349883844</v>
      </c>
      <c r="I34" s="11">
        <f>H34/B$5</f>
        <v>8222.31591941746</v>
      </c>
      <c r="K34" s="1"/>
      <c r="L34" s="1"/>
      <c r="M34" s="23"/>
      <c r="N34" s="23"/>
    </row>
    <row r="35" spans="1:14" ht="12.75">
      <c r="A35" s="77" t="s">
        <v>18</v>
      </c>
      <c r="B35" s="12"/>
      <c r="C35" s="12"/>
      <c r="D35" s="12"/>
      <c r="E35" s="12"/>
      <c r="F35" s="12"/>
      <c r="G35" s="12"/>
      <c r="H35" s="13">
        <f>-H32</f>
        <v>-950117.5499999999</v>
      </c>
      <c r="I35" s="14">
        <f>H35/B$5</f>
        <v>-1459.0033169023816</v>
      </c>
      <c r="K35" s="1"/>
      <c r="L35" s="1"/>
      <c r="M35" t="s">
        <v>43</v>
      </c>
      <c r="N35" s="26">
        <f>+B5</f>
        <v>651.21</v>
      </c>
    </row>
    <row r="36" spans="1:14" ht="13.5" thickBot="1">
      <c r="A36" s="42" t="s">
        <v>20</v>
      </c>
      <c r="B36" s="15"/>
      <c r="C36" s="15"/>
      <c r="D36" s="15"/>
      <c r="E36" s="15"/>
      <c r="F36" s="15"/>
      <c r="G36" s="87" t="s">
        <v>8</v>
      </c>
      <c r="H36" s="42">
        <f>+H34+H35</f>
        <v>4404336.799883844</v>
      </c>
      <c r="I36" s="43">
        <f>+I34+I35</f>
        <v>6763.312602515079</v>
      </c>
      <c r="K36" s="1"/>
      <c r="L36" s="1"/>
      <c r="N36" s="6"/>
    </row>
    <row r="37" spans="1:14" ht="12.75">
      <c r="A37" s="44"/>
      <c r="B37" s="12"/>
      <c r="C37" s="12"/>
      <c r="D37" s="12"/>
      <c r="E37" s="12"/>
      <c r="F37" s="12"/>
      <c r="G37" s="12"/>
      <c r="H37" s="44"/>
      <c r="I37" s="45"/>
      <c r="K37" s="1"/>
      <c r="L37" s="1"/>
      <c r="M37" t="s">
        <v>44</v>
      </c>
      <c r="N37" s="40">
        <f>+(N33*N35)/N31</f>
        <v>2648.8115410222413</v>
      </c>
    </row>
    <row r="38" spans="1:14" ht="12.75">
      <c r="A38" s="1"/>
      <c r="B38" s="1"/>
      <c r="C38" s="1"/>
      <c r="D38" s="1"/>
      <c r="E38" s="1"/>
      <c r="F38" s="39" t="s">
        <v>55</v>
      </c>
      <c r="G38" s="46">
        <f>+H36*1000000/F40</f>
        <v>2648.8115410222413</v>
      </c>
      <c r="H38" s="4"/>
      <c r="I38" s="1"/>
      <c r="K38" s="1"/>
      <c r="L38" s="1"/>
      <c r="N38" s="6"/>
    </row>
    <row r="39" spans="1:14" ht="13.5" thickBot="1">
      <c r="A39" s="1"/>
      <c r="B39" s="1"/>
      <c r="C39" s="1"/>
      <c r="D39" s="1"/>
      <c r="E39" s="1"/>
      <c r="F39" s="1"/>
      <c r="G39" s="1"/>
      <c r="H39" s="1"/>
      <c r="I39" s="1"/>
      <c r="K39" s="1"/>
      <c r="L39" s="1"/>
      <c r="N39" s="6"/>
    </row>
    <row r="40" spans="1:14" ht="15" thickBot="1">
      <c r="A40" s="88" t="s">
        <v>50</v>
      </c>
      <c r="B40" s="16"/>
      <c r="C40" s="16"/>
      <c r="D40" s="16"/>
      <c r="E40" s="16"/>
      <c r="F40" s="99">
        <f>1662759593</f>
        <v>1662759593</v>
      </c>
      <c r="G40" s="112">
        <v>1920.6</v>
      </c>
      <c r="H40" s="17">
        <f>+G40*F40/1000000</f>
        <v>3193496.0743158</v>
      </c>
      <c r="I40" s="18">
        <f>H40/B$5</f>
        <v>4903.942006903763</v>
      </c>
      <c r="K40" s="1"/>
      <c r="L40" s="1"/>
      <c r="N40" s="6"/>
    </row>
    <row r="41" spans="1:12" ht="13.5" thickBot="1">
      <c r="A41" s="29" t="s">
        <v>9</v>
      </c>
      <c r="B41" s="1"/>
      <c r="C41" s="1"/>
      <c r="D41" s="1"/>
      <c r="E41" s="1"/>
      <c r="F41" s="1"/>
      <c r="G41" s="1"/>
      <c r="H41" s="19">
        <f>(H40-H36)/H36</f>
        <v>-0.2749201027496303</v>
      </c>
      <c r="I41" s="1"/>
      <c r="K41" s="1"/>
      <c r="L41" s="1"/>
    </row>
    <row r="42" spans="11:12" ht="12.75">
      <c r="K42" s="1"/>
      <c r="L42" s="1"/>
    </row>
    <row r="43" spans="11:12" ht="12.75">
      <c r="K43" s="1"/>
      <c r="L43" s="1"/>
    </row>
    <row r="44" spans="1:14" ht="12.75">
      <c r="A44" s="1"/>
      <c r="B44" s="1"/>
      <c r="C44" s="1"/>
      <c r="D44" s="1"/>
      <c r="E44" s="1"/>
      <c r="F44" s="3"/>
      <c r="G44" s="1"/>
      <c r="H44" s="20"/>
      <c r="I44" s="4"/>
      <c r="J44" s="1"/>
      <c r="K44" s="1"/>
      <c r="L44" s="1"/>
      <c r="N44" s="26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89" t="s">
        <v>21</v>
      </c>
      <c r="B47" s="21"/>
      <c r="C47" s="21"/>
      <c r="D47" s="21"/>
      <c r="E47" s="21"/>
      <c r="F47" s="21"/>
      <c r="G47" s="21"/>
      <c r="H47" s="21"/>
      <c r="I47" s="21"/>
      <c r="J47" s="21"/>
      <c r="K47" s="1"/>
      <c r="L47" s="1"/>
    </row>
    <row r="48" spans="1:13" ht="12.75">
      <c r="A48" s="32"/>
      <c r="B48" s="31" t="s">
        <v>36</v>
      </c>
      <c r="C48" s="31" t="s">
        <v>37</v>
      </c>
      <c r="F48" s="31" t="s">
        <v>35</v>
      </c>
      <c r="G48" s="31" t="s">
        <v>38</v>
      </c>
      <c r="H48" s="1"/>
      <c r="I48" s="1"/>
      <c r="J48" s="1"/>
      <c r="K48" s="1"/>
      <c r="L48" s="34"/>
      <c r="M48" s="23"/>
    </row>
    <row r="49" spans="1:13" ht="12.75">
      <c r="A49" s="1"/>
      <c r="B49" s="33" t="str">
        <f>+B9</f>
        <v>as of June 30, 2018</v>
      </c>
      <c r="C49" s="33" t="str">
        <f>+B49</f>
        <v>as of June 30, 2018</v>
      </c>
      <c r="D49" s="33" t="s">
        <v>15</v>
      </c>
      <c r="E49" s="33" t="s">
        <v>24</v>
      </c>
      <c r="F49" s="33" t="str">
        <f>+B49</f>
        <v>as of June 30, 2018</v>
      </c>
      <c r="G49" s="33" t="str">
        <f>+F49</f>
        <v>as of June 30, 2018</v>
      </c>
      <c r="I49" s="1"/>
      <c r="J49" s="5"/>
      <c r="K49" s="1"/>
      <c r="L49" s="1"/>
      <c r="M49" s="35"/>
    </row>
    <row r="50" spans="1:12" ht="12.75">
      <c r="A50" s="1" t="s">
        <v>10</v>
      </c>
      <c r="B50" s="1">
        <f>+B12</f>
        <v>99444132192</v>
      </c>
      <c r="C50" s="106">
        <f aca="true" t="shared" si="1" ref="C50:C55">(+B50*G50)/B$5</f>
        <v>15374510878.350393</v>
      </c>
      <c r="D50" s="1">
        <f>+D12</f>
        <v>13607582720.5</v>
      </c>
      <c r="E50" s="22">
        <f>+D50/B50</f>
        <v>0.13683645701917738</v>
      </c>
      <c r="F50" s="108">
        <f>+C50*E50</f>
        <v>2103793596.9962685</v>
      </c>
      <c r="G50" s="26">
        <v>100.68</v>
      </c>
      <c r="I50" s="1"/>
      <c r="J50" s="5"/>
      <c r="K50" s="1"/>
      <c r="L50" s="1"/>
    </row>
    <row r="51" spans="1:12" ht="12.75">
      <c r="A51" s="97"/>
      <c r="B51" s="1"/>
      <c r="C51" s="1">
        <f t="shared" si="1"/>
        <v>0</v>
      </c>
      <c r="D51" s="31" t="s">
        <v>58</v>
      </c>
      <c r="E51" s="22"/>
      <c r="F51" s="1"/>
      <c r="G51" s="26"/>
      <c r="I51" s="1"/>
      <c r="J51" s="5"/>
      <c r="K51" s="1"/>
      <c r="L51" s="1"/>
    </row>
    <row r="52" spans="1:12" ht="12.75">
      <c r="A52" s="1" t="s">
        <v>11</v>
      </c>
      <c r="B52" s="1">
        <v>567712826</v>
      </c>
      <c r="C52" s="106">
        <f>(+B52*G52)/B$5</f>
        <v>272004543.6038452</v>
      </c>
      <c r="D52" s="1">
        <v>377528973</v>
      </c>
      <c r="E52" s="22">
        <f>+D52/B52</f>
        <v>0.6649999008477572</v>
      </c>
      <c r="F52" s="106">
        <f>+C52*E52</f>
        <v>180882994.52669647</v>
      </c>
      <c r="G52" s="38">
        <v>312.01</v>
      </c>
      <c r="I52" s="1"/>
      <c r="J52" s="5"/>
      <c r="K52" s="1"/>
      <c r="L52" s="1"/>
    </row>
    <row r="53" spans="1:13" ht="12.75">
      <c r="A53" s="1" t="s">
        <v>12</v>
      </c>
      <c r="B53" s="1">
        <v>11000000000</v>
      </c>
      <c r="C53" s="106">
        <f t="shared" si="1"/>
        <v>5312756253.7430315</v>
      </c>
      <c r="D53" s="1">
        <v>6468355155</v>
      </c>
      <c r="E53" s="22">
        <f>+D53/B53</f>
        <v>0.5880322868181819</v>
      </c>
      <c r="F53" s="106">
        <f>+C53*E53</f>
        <v>3124072209.1961117</v>
      </c>
      <c r="G53" s="38">
        <v>314.52</v>
      </c>
      <c r="I53" s="1"/>
      <c r="J53" s="5"/>
      <c r="K53" s="1"/>
      <c r="L53" s="1"/>
      <c r="M53" s="23"/>
    </row>
    <row r="54" spans="1:12" ht="12.75">
      <c r="A54" s="1" t="s">
        <v>13</v>
      </c>
      <c r="B54" s="1">
        <v>429418369</v>
      </c>
      <c r="C54" s="106">
        <f t="shared" si="1"/>
        <v>204418996.0074323</v>
      </c>
      <c r="D54" s="1">
        <v>223364308</v>
      </c>
      <c r="E54" s="22">
        <f>+D54/B54</f>
        <v>0.5201554570666258</v>
      </c>
      <c r="F54" s="106">
        <f>+C54*E54</f>
        <v>106329656.3013467</v>
      </c>
      <c r="G54" s="38">
        <v>310</v>
      </c>
      <c r="I54" s="1"/>
      <c r="J54" s="5"/>
      <c r="K54" s="1"/>
      <c r="L54" s="1"/>
    </row>
    <row r="55" spans="1:12" ht="12.75">
      <c r="A55" s="1" t="s">
        <v>14</v>
      </c>
      <c r="B55" s="27">
        <v>141373600</v>
      </c>
      <c r="C55" s="107">
        <f t="shared" si="1"/>
        <v>21101509.374856036</v>
      </c>
      <c r="D55" s="27">
        <v>0</v>
      </c>
      <c r="E55" s="28">
        <f>+D55/B55</f>
        <v>0</v>
      </c>
      <c r="F55" s="107">
        <f>+C55*E55</f>
        <v>0</v>
      </c>
      <c r="G55" s="38">
        <v>97.2</v>
      </c>
      <c r="H55" s="1"/>
      <c r="I55" s="1"/>
      <c r="J55" s="1"/>
      <c r="K55" s="1"/>
      <c r="L55" s="34"/>
    </row>
    <row r="56" spans="1:12" ht="12.75">
      <c r="A56" s="1" t="s">
        <v>25</v>
      </c>
      <c r="B56" s="1">
        <f>SUM(B52:B55)</f>
        <v>12138504795</v>
      </c>
      <c r="C56" s="106">
        <f>SUM(C52:C55)</f>
        <v>5810281302.729165</v>
      </c>
      <c r="D56" s="1">
        <f>SUM(D52:D55)</f>
        <v>7069248436</v>
      </c>
      <c r="E56" s="22">
        <f>+D56/B56</f>
        <v>0.5823821430553713</v>
      </c>
      <c r="F56" s="106">
        <f>SUM(F52:F55)</f>
        <v>3411284860.024155</v>
      </c>
      <c r="G56" s="1"/>
      <c r="H56" s="1"/>
      <c r="I56" s="1"/>
      <c r="J56" s="1"/>
      <c r="L56" s="1"/>
    </row>
    <row r="57" spans="1:12" ht="12.75">
      <c r="A57" s="1"/>
      <c r="B57" s="1"/>
      <c r="C57" s="1"/>
      <c r="D57" s="1"/>
      <c r="E57" s="22"/>
      <c r="F57" s="1"/>
      <c r="G57" s="1"/>
      <c r="H57" s="1"/>
      <c r="I57" s="1"/>
      <c r="J57" s="1"/>
      <c r="L57" s="1"/>
    </row>
    <row r="58" spans="1:12" ht="12.75">
      <c r="A58" s="1"/>
      <c r="B58" s="1"/>
      <c r="C58" s="1"/>
      <c r="D58" s="1"/>
      <c r="E58" s="1"/>
      <c r="F58" s="106">
        <f>+F50+F56</f>
        <v>5515078457.020424</v>
      </c>
      <c r="G58" s="1"/>
      <c r="L58" s="1"/>
    </row>
    <row r="59" spans="2:12" ht="12.75">
      <c r="B59" s="31" t="str">
        <f>+H9</f>
        <v>MCh$</v>
      </c>
      <c r="C59" s="31" t="str">
        <f>+I9</f>
        <v>MUSD</v>
      </c>
      <c r="L59" s="1"/>
    </row>
    <row r="60" spans="1:12" ht="12.75">
      <c r="A60" t="s">
        <v>52</v>
      </c>
      <c r="B60" s="3">
        <v>829783.938</v>
      </c>
      <c r="C60" s="6">
        <f>+B60/B5</f>
        <v>1274.2186667895148</v>
      </c>
      <c r="D60" s="23"/>
      <c r="H60" s="23"/>
      <c r="L60" s="1"/>
    </row>
    <row r="61" spans="1:8" ht="12.75">
      <c r="A61" t="s">
        <v>64</v>
      </c>
      <c r="B61" s="3">
        <v>26951.987</v>
      </c>
      <c r="C61" s="5">
        <f>+B61/B5</f>
        <v>41.38755086684787</v>
      </c>
      <c r="D61" s="1"/>
      <c r="E61" s="1"/>
      <c r="H61" s="23"/>
    </row>
    <row r="62" spans="1:8" ht="12.75">
      <c r="A62" t="s">
        <v>65</v>
      </c>
      <c r="B62" s="3">
        <v>93381.625</v>
      </c>
      <c r="C62" s="5">
        <f>+B62/B5</f>
        <v>143.39709924601894</v>
      </c>
      <c r="F62" s="106">
        <f>+F56*G62</f>
        <v>1705642430.0120776</v>
      </c>
      <c r="G62" s="22">
        <v>0.5</v>
      </c>
      <c r="H62" s="23" t="s">
        <v>50</v>
      </c>
    </row>
    <row r="63" spans="2:8" ht="12.75">
      <c r="B63" s="3"/>
      <c r="C63" s="5"/>
      <c r="F63" s="1"/>
      <c r="G63" s="22"/>
      <c r="H63" s="23"/>
    </row>
    <row r="64" spans="1:8" ht="12.75">
      <c r="A64" s="24" t="s">
        <v>47</v>
      </c>
      <c r="B64" s="115">
        <f>+B60+B61+B62+B63</f>
        <v>950117.5499999999</v>
      </c>
      <c r="C64" s="90">
        <f>+C60+C61+C62</f>
        <v>1459.0033169023818</v>
      </c>
      <c r="D64" s="1"/>
      <c r="F64" s="106">
        <f>+G64*F56</f>
        <v>1705642430.0120776</v>
      </c>
      <c r="G64" s="22">
        <v>0.5</v>
      </c>
      <c r="H64" s="23" t="s">
        <v>51</v>
      </c>
    </row>
    <row r="65" spans="2:8" ht="12.75">
      <c r="B65" s="1"/>
      <c r="C65" s="1"/>
      <c r="D65" s="1"/>
      <c r="F65" s="106">
        <f>+F62+F64</f>
        <v>3411284860.024155</v>
      </c>
      <c r="G65" s="22">
        <f>+G62+G64</f>
        <v>1</v>
      </c>
      <c r="H65" s="23"/>
    </row>
    <row r="66" spans="2:6" ht="12.75">
      <c r="B66" s="1"/>
      <c r="C66" s="1"/>
      <c r="F66" s="1"/>
    </row>
    <row r="67" spans="1:6" ht="12.75">
      <c r="A67" s="94" t="s">
        <v>75</v>
      </c>
      <c r="B67" s="1"/>
      <c r="C67" s="1"/>
      <c r="F67" s="1"/>
    </row>
    <row r="68" spans="3:6" ht="12.75">
      <c r="C68" s="1"/>
      <c r="F68" s="39"/>
    </row>
    <row r="69" spans="2:6" ht="12.75">
      <c r="B69" s="39" t="s">
        <v>10</v>
      </c>
      <c r="C69" s="39" t="s">
        <v>50</v>
      </c>
      <c r="D69" s="39" t="s">
        <v>51</v>
      </c>
      <c r="E69" s="26"/>
      <c r="F69" s="26"/>
    </row>
    <row r="70" spans="2:6" ht="12.75">
      <c r="B70" s="22">
        <f>+C70+D70</f>
        <v>1</v>
      </c>
      <c r="C70" s="92">
        <v>0.5</v>
      </c>
      <c r="D70" s="92">
        <v>0.5</v>
      </c>
      <c r="E70" s="23"/>
      <c r="F70" s="23">
        <f>26733861635+264480196</f>
        <v>26998341831</v>
      </c>
    </row>
    <row r="71" spans="1:6" ht="12.75">
      <c r="A71" t="s">
        <v>49</v>
      </c>
      <c r="B71" s="23">
        <v>26998341831</v>
      </c>
      <c r="C71" s="23">
        <f>+B71*C70</f>
        <v>13499170915.5</v>
      </c>
      <c r="D71" s="23">
        <f>+D70*B71</f>
        <v>13499170915.5</v>
      </c>
      <c r="E71" s="23"/>
      <c r="F71" s="26"/>
    </row>
    <row r="72" spans="2:6" ht="12.75">
      <c r="B72" s="23"/>
      <c r="C72" s="22"/>
      <c r="D72" s="22">
        <f>+D71/B71</f>
        <v>0.5</v>
      </c>
      <c r="E72" s="26"/>
      <c r="F72" s="26"/>
    </row>
    <row r="73" spans="2:6" ht="12.75">
      <c r="B73" s="23"/>
      <c r="C73" s="26"/>
      <c r="E73" s="26"/>
      <c r="F73" s="26"/>
    </row>
    <row r="74" spans="2:5" ht="12.75">
      <c r="B74" s="41" t="s">
        <v>48</v>
      </c>
      <c r="C74" s="39" t="s">
        <v>50</v>
      </c>
      <c r="D74" s="39" t="s">
        <v>51</v>
      </c>
      <c r="E74" s="23"/>
    </row>
    <row r="75" spans="2:5" ht="12.75">
      <c r="B75" s="23">
        <f>+D56</f>
        <v>7069248436</v>
      </c>
      <c r="C75" s="23">
        <f>+B75*C70</f>
        <v>3534624218</v>
      </c>
      <c r="D75" s="23">
        <f>+D70*B75</f>
        <v>3534624218</v>
      </c>
      <c r="E75" s="26"/>
    </row>
    <row r="76" spans="2:5" ht="12.75">
      <c r="B76" s="23"/>
      <c r="C76" s="26"/>
      <c r="D76" s="40"/>
      <c r="E76" s="26"/>
    </row>
    <row r="77" spans="2:6" ht="12.75">
      <c r="B77" s="23"/>
      <c r="C77" s="23"/>
      <c r="D77" s="40"/>
      <c r="E77" s="26"/>
      <c r="F77" s="23"/>
    </row>
    <row r="78" spans="2:5" ht="12.75">
      <c r="B78" s="23"/>
      <c r="C78" s="23"/>
      <c r="E78" s="26"/>
    </row>
    <row r="79" spans="2:5" ht="12.75">
      <c r="B79" s="23"/>
      <c r="C79" s="23"/>
      <c r="E79" s="26"/>
    </row>
    <row r="80" spans="2:3" ht="12.75">
      <c r="B80" s="23"/>
      <c r="C80" s="23"/>
    </row>
    <row r="81" spans="2:3" ht="12.75">
      <c r="B81" s="23"/>
      <c r="C81" s="23"/>
    </row>
    <row r="82" spans="2:3" ht="12.75">
      <c r="B82" s="6"/>
      <c r="C82" s="6"/>
    </row>
    <row r="83" ht="12.75">
      <c r="C83" s="6"/>
    </row>
    <row r="98" ht="12.75">
      <c r="B98">
        <v>139642577000</v>
      </c>
    </row>
    <row r="100" ht="12.75">
      <c r="B100">
        <v>1338335100</v>
      </c>
    </row>
    <row r="101" ht="12.75">
      <c r="B101">
        <v>1344577775</v>
      </c>
    </row>
    <row r="102" ht="12.75">
      <c r="B102">
        <f>+B98/B101</f>
        <v>103.85608002482415</v>
      </c>
    </row>
    <row r="103" ht="12.75">
      <c r="B103">
        <f>+B98/B100</f>
        <v>104.34051755797184</v>
      </c>
    </row>
  </sheetData>
  <sheetProtection/>
  <mergeCells count="1">
    <mergeCell ref="H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7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Jeannette Escobar</cp:lastModifiedBy>
  <cp:lastPrinted>2018-09-27T16:38:58Z</cp:lastPrinted>
  <dcterms:created xsi:type="dcterms:W3CDTF">2000-08-28T16:15:11Z</dcterms:created>
  <dcterms:modified xsi:type="dcterms:W3CDTF">2018-09-27T16:39:03Z</dcterms:modified>
  <cp:category/>
  <cp:version/>
  <cp:contentType/>
  <cp:contentStatus/>
</cp:coreProperties>
</file>